
<file path=[Content_Types].xml><?xml version="1.0" encoding="utf-8"?>
<Types xmlns="http://schemas.openxmlformats.org/package/2006/content-types">
  <Default Extension="jpeg" ContentType="image/jpeg"/>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4.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5.xml" ContentType="application/vnd.openxmlformats-officedocument.drawing+xml"/>
  <Override PartName="/xl/drawings/drawing6.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7.xml" ContentType="application/vnd.openxmlformats-officedocument.drawing+xml"/>
  <Override PartName="/xl/charts/chart5.xml" ContentType="application/vnd.openxmlformats-officedocument.drawingml.chart+xml"/>
  <Override PartName="/xl/drawings/drawing8.xml" ContentType="application/vnd.openxmlformats-officedocument.drawing+xml"/>
  <Override PartName="/xl/drawings/drawing9.xml" ContentType="application/vnd.openxmlformats-officedocument.drawing+xml"/>
  <Override PartName="/xl/charts/chart6.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tables/table1.xml" ContentType="application/vnd.openxmlformats-officedocument.spreadsheetml.table+xml"/>
  <Override PartName="/xl/drawings/drawing16.xml" ContentType="application/vnd.openxmlformats-officedocument.drawing+xml"/>
  <Override PartName="/xl/comments1.xml" ContentType="application/vnd.openxmlformats-officedocument.spreadsheetml.comments+xml"/>
  <Override PartName="/xl/drawings/drawing17.xml" ContentType="application/vnd.openxmlformats-officedocument.drawing+xml"/>
  <Override PartName="/xl/comments2.xml" ContentType="application/vnd.openxmlformats-officedocument.spreadsheetml.comments+xml"/>
  <Override PartName="/xl/drawings/drawing18.xml" ContentType="application/vnd.openxmlformats-officedocument.drawing+xml"/>
  <Override PartName="/xl/comments3.xml" ContentType="application/vnd.openxmlformats-officedocument.spreadsheetml.comments+xml"/>
  <Override PartName="/xl/drawings/drawing19.xml" ContentType="application/vnd.openxmlformats-officedocument.drawing+xml"/>
  <Override PartName="/xl/comments4.xml" ContentType="application/vnd.openxmlformats-officedocument.spreadsheetml.comments+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charts/chart7.xml" ContentType="application/vnd.openxmlformats-officedocument.drawingml.chart+xml"/>
  <Override PartName="/xl/charts/style6.xml" ContentType="application/vnd.ms-office.chartstyle+xml"/>
  <Override PartName="/xl/charts/colors6.xml" ContentType="application/vnd.ms-office.chartcolorstyle+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117"/>
  <workbookPr codeName="ThisWorkbook"/>
  <mc:AlternateContent xmlns:mc="http://schemas.openxmlformats.org/markup-compatibility/2006">
    <mc:Choice Requires="x15">
      <x15ac:absPath xmlns:x15ac="http://schemas.microsoft.com/office/spreadsheetml/2010/11/ac" url="C:\Users\amisa\Downloads\Tools and Calculators\"/>
    </mc:Choice>
  </mc:AlternateContent>
  <xr:revisionPtr revIDLastSave="0" documentId="13_ncr:1_{AD715CCF-B66B-4B5B-B6DD-8A33D2924F8F}" xr6:coauthVersionLast="47" xr6:coauthVersionMax="47" xr10:uidLastSave="{00000000-0000-0000-0000-000000000000}"/>
  <bookViews>
    <workbookView showSheetTabs="0" xWindow="-108" yWindow="-108" windowWidth="23256" windowHeight="12576" tabRatio="891" xr2:uid="{00000000-000D-0000-FFFF-FFFF00000000}"/>
  </bookViews>
  <sheets>
    <sheet name="MAIN MENU" sheetId="18" r:id="rId1"/>
    <sheet name="SIP GRAPH" sheetId="20" r:id="rId2"/>
    <sheet name="SIP DELAY" sheetId="21" r:id="rId3"/>
    <sheet name="SIP TARGET" sheetId="22" r:id="rId4"/>
    <sheet name="EMIvsSIP" sheetId="47" r:id="rId5"/>
    <sheet name="RETIREMENT" sheetId="23" r:id="rId6"/>
    <sheet name="SWP_NEW" sheetId="46" r:id="rId7"/>
    <sheet name="SWP" sheetId="24" r:id="rId8"/>
    <sheet name="STP_CapSafe" sheetId="25" r:id="rId9"/>
    <sheet name="SAVING ON EMI" sheetId="26" state="hidden" r:id="rId10"/>
    <sheet name="DCF" sheetId="29" r:id="rId11"/>
    <sheet name="FinPlan" sheetId="30" r:id="rId12"/>
    <sheet name="OTHERS" sheetId="31" r:id="rId13"/>
    <sheet name="OTHERS (2)" sheetId="32" r:id="rId14"/>
    <sheet name="Debt_FD" sheetId="33" r:id="rId15"/>
    <sheet name="Debt_FD_SWP (2)" sheetId="42" r:id="rId16"/>
    <sheet name="SWP_CashFlow (2)" sheetId="41" r:id="rId17"/>
    <sheet name="Debt_FD_SWP (3)" sheetId="44" r:id="rId18"/>
    <sheet name="SWP_CashFlow (3)" sheetId="43" r:id="rId19"/>
    <sheet name="HomePage" sheetId="36" r:id="rId20"/>
    <sheet name="AMT" sheetId="37" state="hidden" r:id="rId21"/>
    <sheet name="PERCENT" sheetId="38" state="hidden" r:id="rId22"/>
    <sheet name="RESULT" sheetId="39" r:id="rId23"/>
    <sheet name="ANALYSIS" sheetId="40" r:id="rId24"/>
    <sheet name="Capital Gain" sheetId="45" r:id="rId25"/>
    <sheet name="ASSET ALLOCATION" sheetId="48" r:id="rId26"/>
    <sheet name="AA_2" sheetId="49" r:id="rId27"/>
    <sheet name="AA_2 (2)" sheetId="50" r:id="rId28"/>
    <sheet name="DISCLAIMER" sheetId="4" r:id="rId29"/>
  </sheets>
  <definedNames>
    <definedName name="AA_2">AA_2!$F$4</definedName>
    <definedName name="AA_22">'AA_2 (2)'!$F$4</definedName>
    <definedName name="CellOne" localSheetId="25">#REF!</definedName>
    <definedName name="CellOne">FinPlan!$D$3</definedName>
    <definedName name="Commodity" localSheetId="27">'AA_2 (2)'!$S$5:$S$6</definedName>
    <definedName name="Commodity">AA_2!$S$5:$S$6</definedName>
    <definedName name="D_DDT" localSheetId="25">#REF!</definedName>
    <definedName name="D_DDT">'SWP_CashFlow (2)'!$O$3</definedName>
    <definedName name="D_ServiceTax" localSheetId="25">#REF!</definedName>
    <definedName name="D_ServiceTax">'SWP_CashFlow (2)'!$T$3</definedName>
    <definedName name="D_Surcharge" localSheetId="25">#REF!</definedName>
    <definedName name="D_Surcharge">'SWP_CashFlow (2)'!$Q$3</definedName>
    <definedName name="DCF" localSheetId="25">#REF!</definedName>
    <definedName name="DCF">DCF!$B$2</definedName>
    <definedName name="Debt" localSheetId="27">'AA_2 (2)'!$R$5:$R$19</definedName>
    <definedName name="Debt">AA_2!$R$5:$R$19</definedName>
    <definedName name="Debt_FD" localSheetId="25">#REF!</definedName>
    <definedName name="Debt_FD">Debt_FD!$C$2</definedName>
    <definedName name="DivSWP" localSheetId="25">#REF!</definedName>
    <definedName name="DivSWP">'Debt_FD_SWP (2)'!$C$3</definedName>
    <definedName name="E_DDT" localSheetId="25">#REF!</definedName>
    <definedName name="E_DDT">'SWP_CashFlow (2)'!$O$2</definedName>
    <definedName name="E_ServiceTax" localSheetId="25">#REF!</definedName>
    <definedName name="E_ServiceTax" localSheetId="18">'SWP_CashFlow (3)'!$P$2</definedName>
    <definedName name="E_ServiceTax">'SWP_CashFlow (2)'!$T$2</definedName>
    <definedName name="E_Surcharge" localSheetId="25">#REF!</definedName>
    <definedName name="E_Surcharge">'SWP_CashFlow (2)'!$Q$2</definedName>
    <definedName name="Equity" localSheetId="27">'AA_2 (2)'!$P$5:$P$19</definedName>
    <definedName name="Equity">AA_2!$P$5:$P$19</definedName>
    <definedName name="GOALS" localSheetId="25">#REF!</definedName>
    <definedName name="GOALS">DCF!$P$10:$P$30</definedName>
    <definedName name="HLOAN" localSheetId="25">#REF!</definedName>
    <definedName name="HLOAN">#REF!</definedName>
    <definedName name="HOME" localSheetId="20">AMT!$E$6</definedName>
    <definedName name="HOME" localSheetId="23">PERCENT!$E$6</definedName>
    <definedName name="HOME" localSheetId="25">#REF!</definedName>
    <definedName name="HOME" localSheetId="19">HomePage!$D$4</definedName>
    <definedName name="HOME" localSheetId="22">PERCENT!$E$6</definedName>
    <definedName name="HOME">PERCENT!$E$6</definedName>
    <definedName name="HOME_LOAN" localSheetId="25">#REF!</definedName>
    <definedName name="HOME_LOAN" localSheetId="4">EMIvsSIP!$C$5</definedName>
    <definedName name="HOME_LOAN">'SAVING ON EMI'!$C$4</definedName>
    <definedName name="Hybrid" localSheetId="27">'AA_2 (2)'!$Q$5:$Q$14</definedName>
    <definedName name="Hybrid">AA_2!$Q$5:$Q$14</definedName>
    <definedName name="IntSWP" localSheetId="25">#REF!</definedName>
    <definedName name="IntSWP">'Debt_FD_SWP (3)'!$C$3</definedName>
    <definedName name="_xlnm.Print_Area" localSheetId="26">AA_2!$A$1:$L$29</definedName>
    <definedName name="_xlnm.Print_Area" localSheetId="27">'AA_2 (2)'!$A$1:$L$29</definedName>
    <definedName name="_xlnm.Print_Area" localSheetId="23">ANALYSIS!$A$1:$M$18</definedName>
    <definedName name="_xlnm.Print_Area" localSheetId="10">DCF!$A$1:$F$26</definedName>
    <definedName name="_xlnm.Print_Area" localSheetId="5">RETIREMENT!$A$1:$R$17</definedName>
    <definedName name="_xlnm.Print_Area" localSheetId="2">'SIP DELAY'!$A$1:$M$17</definedName>
    <definedName name="_xlnm.Print_Area" localSheetId="3">'SIP TARGET'!$A$1:$R$23</definedName>
    <definedName name="_xlnm.Print_Area" localSheetId="7">SWP!$A$1:$H$44</definedName>
    <definedName name="RESULT" localSheetId="25">#REF!</definedName>
    <definedName name="RESULT">RESULT!$Q$2</definedName>
    <definedName name="RETIREMENT" localSheetId="25">#REF!</definedName>
    <definedName name="RETIREMENT">RETIREMENT!$G$2</definedName>
    <definedName name="Scenario_1" localSheetId="25">#REF!</definedName>
    <definedName name="Scenario_1">#REF!</definedName>
    <definedName name="Scenario1" localSheetId="25">#REF!</definedName>
    <definedName name="Scenario1" localSheetId="4">EMIvsSIP!$C$18</definedName>
    <definedName name="Scenario1">'SAVING ON EMI'!$F$7</definedName>
    <definedName name="Scenario2" localSheetId="13">#REF!</definedName>
    <definedName name="SIP_DELAY" localSheetId="25">#REF!</definedName>
    <definedName name="SIP_DELAY">'SIP DELAY'!$F$2</definedName>
    <definedName name="SIP_GRAPH" localSheetId="25">#REF!</definedName>
    <definedName name="SIP_GRAPH">'SIP GRAPH'!$G$2</definedName>
    <definedName name="SIP_TARGET" localSheetId="25">#REF!</definedName>
    <definedName name="SIP_TARGET">'SIP TARGET'!$F$2</definedName>
    <definedName name="STP_CapSafe" localSheetId="25">#REF!</definedName>
    <definedName name="STP_CapSafe">STP_CapSafe!$C$3</definedName>
    <definedName name="SWP" localSheetId="13">SWP!#REF!</definedName>
    <definedName name="SWP_Entry">SWP!$D$2</definedName>
    <definedName name="SWP_LINK">SWP!$D$4</definedName>
    <definedName name="Table" localSheetId="25">#REF!</definedName>
    <definedName name="Table">RESULT!$A$35</definedName>
    <definedName name="TaxSlab" comment="Tax slabs">'SIP GRAPH'!$S$1:$S$7</definedName>
    <definedName name="Validation" localSheetId="15">'Debt_FD_SWP (2)'!$O$2:$O$3</definedName>
    <definedName name="Validation" localSheetId="17">'Debt_FD_SWP (3)'!$O$2:$O$3</definedName>
    <definedName name="Years" localSheetId="25">#REF!</definedName>
    <definedName name="Years">SWP!$O$4:$O$34</definedName>
  </definedNames>
  <calcPr calcId="191029"/>
  <customWorkbookViews>
    <customWorkbookView name="JIGAR - Personal View" guid="{79659748-D45A-4BB2-979D-51E4C34D3332}" personalView="1" maximized="1" xWindow="1" yWindow="1" windowWidth="1366" windowHeight="538" activeSheetId="0"/>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I13" i="46" l="1"/>
  <c r="I14" i="46"/>
  <c r="I15" i="46"/>
  <c r="I16" i="46"/>
  <c r="I17" i="46"/>
  <c r="I18" i="46"/>
  <c r="I19" i="46"/>
  <c r="I20" i="46"/>
  <c r="I21" i="46"/>
  <c r="I22" i="46"/>
  <c r="I23" i="46"/>
  <c r="I24" i="46"/>
  <c r="I25" i="46"/>
  <c r="I26" i="46"/>
  <c r="I27" i="46"/>
  <c r="I28" i="46"/>
  <c r="I29" i="46"/>
  <c r="I30" i="46"/>
  <c r="I31" i="46"/>
  <c r="I32" i="46"/>
  <c r="I33" i="46"/>
  <c r="I34" i="46"/>
  <c r="I35" i="46"/>
  <c r="I36" i="46"/>
  <c r="I37" i="46"/>
  <c r="I38" i="46"/>
  <c r="I39" i="46"/>
  <c r="I40" i="46"/>
  <c r="I41" i="46"/>
  <c r="I42" i="46"/>
  <c r="I43" i="46"/>
  <c r="I44" i="46"/>
  <c r="I45" i="46"/>
  <c r="I46" i="46"/>
  <c r="I47" i="46"/>
  <c r="I48" i="46"/>
  <c r="I49" i="46"/>
  <c r="I50" i="46"/>
  <c r="I51" i="46"/>
  <c r="I52" i="46"/>
  <c r="I12" i="46"/>
  <c r="U6" i="32"/>
  <c r="U5" i="32"/>
  <c r="U4" i="32"/>
  <c r="U3" i="32"/>
  <c r="L16" i="32" s="1"/>
  <c r="T6" i="32"/>
  <c r="T5" i="32"/>
  <c r="T4" i="32"/>
  <c r="T3" i="32"/>
  <c r="S6" i="32"/>
  <c r="S5" i="32"/>
  <c r="S4" i="32"/>
  <c r="S3" i="32"/>
  <c r="R6" i="32"/>
  <c r="R5" i="32"/>
  <c r="R4" i="32"/>
  <c r="R3" i="32"/>
  <c r="L16" i="31"/>
  <c r="L8" i="31"/>
  <c r="F16" i="31"/>
  <c r="F8" i="31"/>
  <c r="W5" i="47"/>
  <c r="W6" i="47" s="1"/>
  <c r="W7" i="47" s="1"/>
  <c r="W8" i="47" s="1"/>
  <c r="W9" i="47" s="1"/>
  <c r="W10" i="47" s="1"/>
  <c r="W11" i="47" s="1"/>
  <c r="W12" i="47" s="1"/>
  <c r="W13" i="47" s="1"/>
  <c r="W14" i="47" s="1"/>
  <c r="W15" i="47" s="1"/>
  <c r="W16" i="47" s="1"/>
  <c r="W17" i="47" s="1"/>
  <c r="W18" i="47" s="1"/>
  <c r="W19" i="47" s="1"/>
  <c r="W20" i="47" s="1"/>
  <c r="W21" i="47" s="1"/>
  <c r="W22" i="47" s="1"/>
  <c r="W23" i="47" s="1"/>
  <c r="W24" i="47" s="1"/>
  <c r="W25" i="47" s="1"/>
  <c r="W26" i="47" s="1"/>
  <c r="W27" i="47" s="1"/>
  <c r="W28" i="47" s="1"/>
  <c r="W29" i="47" s="1"/>
  <c r="W30" i="47" s="1"/>
  <c r="W31" i="47" s="1"/>
  <c r="W32" i="47" s="1"/>
  <c r="W33" i="47" s="1"/>
  <c r="W34" i="47" s="1"/>
  <c r="W35" i="47" s="1"/>
  <c r="W36" i="47" s="1"/>
  <c r="W37" i="47" s="1"/>
  <c r="W38" i="47" s="1"/>
  <c r="W39" i="47" s="1"/>
  <c r="W40" i="47" s="1"/>
  <c r="W41" i="47" s="1"/>
  <c r="W42" i="47" s="1"/>
  <c r="W43" i="47" s="1"/>
  <c r="W44" i="47" s="1"/>
  <c r="W45" i="47" s="1"/>
  <c r="W46" i="47" s="1"/>
  <c r="W47" i="47" s="1"/>
  <c r="W48" i="47" s="1"/>
  <c r="W49" i="47" s="1"/>
  <c r="W50" i="47" s="1"/>
  <c r="W51" i="47" s="1"/>
  <c r="W52" i="47" s="1"/>
  <c r="W53" i="47" s="1"/>
  <c r="W54" i="47" s="1"/>
  <c r="W55" i="47" s="1"/>
  <c r="W56" i="47" s="1"/>
  <c r="W57" i="47" s="1"/>
  <c r="W58" i="47" s="1"/>
  <c r="W59" i="47" s="1"/>
  <c r="W60" i="47" s="1"/>
  <c r="W61" i="47" s="1"/>
  <c r="W62" i="47" s="1"/>
  <c r="W63" i="47" s="1"/>
  <c r="W64" i="47" s="1"/>
  <c r="W65" i="47" s="1"/>
  <c r="W66" i="47" s="1"/>
  <c r="W67" i="47" s="1"/>
  <c r="W68" i="47" s="1"/>
  <c r="W69" i="47" s="1"/>
  <c r="W70" i="47" s="1"/>
  <c r="W71" i="47" s="1"/>
  <c r="W72" i="47" s="1"/>
  <c r="W73" i="47" s="1"/>
  <c r="W74" i="47" s="1"/>
  <c r="W75" i="47" s="1"/>
  <c r="W76" i="47" s="1"/>
  <c r="W77" i="47" s="1"/>
  <c r="W78" i="47" s="1"/>
  <c r="W79" i="47" s="1"/>
  <c r="W80" i="47" s="1"/>
  <c r="W81" i="47" s="1"/>
  <c r="W82" i="47" s="1"/>
  <c r="W83" i="47" s="1"/>
  <c r="W84" i="47" s="1"/>
  <c r="W85" i="47" s="1"/>
  <c r="W86" i="47" s="1"/>
  <c r="W87" i="47" s="1"/>
  <c r="W88" i="47" s="1"/>
  <c r="W89" i="47" s="1"/>
  <c r="W90" i="47" s="1"/>
  <c r="W91" i="47" s="1"/>
  <c r="W92" i="47" s="1"/>
  <c r="W93" i="47" s="1"/>
  <c r="W94" i="47" s="1"/>
  <c r="W95" i="47" s="1"/>
  <c r="W96" i="47" s="1"/>
  <c r="W97" i="47" s="1"/>
  <c r="W98" i="47" s="1"/>
  <c r="W99" i="47" s="1"/>
  <c r="W100" i="47" s="1"/>
  <c r="W101" i="47" s="1"/>
  <c r="W102" i="47" s="1"/>
  <c r="W103" i="47" s="1"/>
  <c r="W104" i="47" s="1"/>
  <c r="W105" i="47" s="1"/>
  <c r="W106" i="47" s="1"/>
  <c r="W107" i="47" s="1"/>
  <c r="W108" i="47" s="1"/>
  <c r="W109" i="47" s="1"/>
  <c r="W110" i="47" s="1"/>
  <c r="W111" i="47" s="1"/>
  <c r="W112" i="47" s="1"/>
  <c r="W113" i="47" s="1"/>
  <c r="W114" i="47" s="1"/>
  <c r="W115" i="47" s="1"/>
  <c r="W116" i="47" s="1"/>
  <c r="W117" i="47" s="1"/>
  <c r="W118" i="47" s="1"/>
  <c r="W119" i="47" s="1"/>
  <c r="W120" i="47" s="1"/>
  <c r="W121" i="47" s="1"/>
  <c r="W122" i="47" s="1"/>
  <c r="W123" i="47" s="1"/>
  <c r="W124" i="47" s="1"/>
  <c r="W125" i="47" s="1"/>
  <c r="W126" i="47" s="1"/>
  <c r="W127" i="47" s="1"/>
  <c r="W128" i="47" s="1"/>
  <c r="W129" i="47" s="1"/>
  <c r="W130" i="47" s="1"/>
  <c r="W131" i="47" s="1"/>
  <c r="W132" i="47" s="1"/>
  <c r="W133" i="47" s="1"/>
  <c r="W134" i="47" s="1"/>
  <c r="W135" i="47" s="1"/>
  <c r="W136" i="47" s="1"/>
  <c r="W137" i="47" s="1"/>
  <c r="W138" i="47" s="1"/>
  <c r="W139" i="47" s="1"/>
  <c r="W140" i="47" s="1"/>
  <c r="W141" i="47" s="1"/>
  <c r="W142" i="47" s="1"/>
  <c r="W143" i="47" s="1"/>
  <c r="W144" i="47" s="1"/>
  <c r="W145" i="47" s="1"/>
  <c r="W146" i="47" s="1"/>
  <c r="W147" i="47" s="1"/>
  <c r="W148" i="47" s="1"/>
  <c r="W149" i="47" s="1"/>
  <c r="W150" i="47" s="1"/>
  <c r="W151" i="47" s="1"/>
  <c r="W152" i="47" s="1"/>
  <c r="W153" i="47" s="1"/>
  <c r="W154" i="47" s="1"/>
  <c r="W155" i="47" s="1"/>
  <c r="W156" i="47" s="1"/>
  <c r="W157" i="47" s="1"/>
  <c r="W158" i="47" s="1"/>
  <c r="W159" i="47" s="1"/>
  <c r="W160" i="47" s="1"/>
  <c r="W161" i="47" s="1"/>
  <c r="W162" i="47" s="1"/>
  <c r="W163" i="47" s="1"/>
  <c r="W164" i="47" s="1"/>
  <c r="W165" i="47" s="1"/>
  <c r="W166" i="47" s="1"/>
  <c r="W167" i="47" s="1"/>
  <c r="W168" i="47" s="1"/>
  <c r="W169" i="47" s="1"/>
  <c r="W170" i="47" s="1"/>
  <c r="W171" i="47" s="1"/>
  <c r="W172" i="47" s="1"/>
  <c r="W173" i="47" s="1"/>
  <c r="W174" i="47" s="1"/>
  <c r="W175" i="47" s="1"/>
  <c r="W176" i="47" s="1"/>
  <c r="W177" i="47" s="1"/>
  <c r="W178" i="47" s="1"/>
  <c r="W179" i="47" s="1"/>
  <c r="W180" i="47" s="1"/>
  <c r="W181" i="47" s="1"/>
  <c r="W182" i="47" s="1"/>
  <c r="W183" i="47" s="1"/>
  <c r="W184" i="47" s="1"/>
  <c r="W185" i="47" s="1"/>
  <c r="W186" i="47" s="1"/>
  <c r="W187" i="47" s="1"/>
  <c r="W188" i="47" s="1"/>
  <c r="W189" i="47" s="1"/>
  <c r="W190" i="47" s="1"/>
  <c r="W191" i="47" s="1"/>
  <c r="W192" i="47" s="1"/>
  <c r="W193" i="47" s="1"/>
  <c r="W194" i="47" s="1"/>
  <c r="W195" i="47" s="1"/>
  <c r="W196" i="47" s="1"/>
  <c r="W197" i="47" s="1"/>
  <c r="W198" i="47" s="1"/>
  <c r="W199" i="47" s="1"/>
  <c r="W200" i="47" s="1"/>
  <c r="W201" i="47" s="1"/>
  <c r="W202" i="47" s="1"/>
  <c r="W203" i="47" s="1"/>
  <c r="W204" i="47" s="1"/>
  <c r="W205" i="47" s="1"/>
  <c r="W206" i="47" s="1"/>
  <c r="W207" i="47" s="1"/>
  <c r="W208" i="47" s="1"/>
  <c r="W209" i="47" s="1"/>
  <c r="W210" i="47" s="1"/>
  <c r="W211" i="47" s="1"/>
  <c r="W212" i="47" s="1"/>
  <c r="W213" i="47" s="1"/>
  <c r="W214" i="47" s="1"/>
  <c r="W215" i="47" s="1"/>
  <c r="W216" i="47" s="1"/>
  <c r="W217" i="47" s="1"/>
  <c r="W218" i="47" s="1"/>
  <c r="W219" i="47" s="1"/>
  <c r="W220" i="47" s="1"/>
  <c r="W221" i="47" s="1"/>
  <c r="W222" i="47" s="1"/>
  <c r="W223" i="47" s="1"/>
  <c r="W224" i="47" s="1"/>
  <c r="W225" i="47" s="1"/>
  <c r="W226" i="47" s="1"/>
  <c r="W227" i="47" s="1"/>
  <c r="W228" i="47" s="1"/>
  <c r="W229" i="47" s="1"/>
  <c r="W230" i="47" s="1"/>
  <c r="W231" i="47" s="1"/>
  <c r="W232" i="47" s="1"/>
  <c r="W233" i="47" s="1"/>
  <c r="W234" i="47" s="1"/>
  <c r="W235" i="47" s="1"/>
  <c r="W236" i="47" s="1"/>
  <c r="W237" i="47" s="1"/>
  <c r="W238" i="47" s="1"/>
  <c r="W239" i="47" s="1"/>
  <c r="W240" i="47" s="1"/>
  <c r="W241" i="47" s="1"/>
  <c r="W242" i="47" s="1"/>
  <c r="W243" i="47" s="1"/>
  <c r="W244" i="47" s="1"/>
  <c r="W245" i="47" s="1"/>
  <c r="W246" i="47" s="1"/>
  <c r="W247" i="47" s="1"/>
  <c r="W248" i="47" s="1"/>
  <c r="W249" i="47" s="1"/>
  <c r="W250" i="47" s="1"/>
  <c r="W251" i="47" s="1"/>
  <c r="W252" i="47" s="1"/>
  <c r="W253" i="47" s="1"/>
  <c r="W254" i="47" s="1"/>
  <c r="W255" i="47" s="1"/>
  <c r="W256" i="47" s="1"/>
  <c r="W257" i="47" s="1"/>
  <c r="W258" i="47" s="1"/>
  <c r="W259" i="47" s="1"/>
  <c r="W260" i="47" s="1"/>
  <c r="W261" i="47" s="1"/>
  <c r="W262" i="47" s="1"/>
  <c r="W263" i="47" s="1"/>
  <c r="W264" i="47" s="1"/>
  <c r="W265" i="47" s="1"/>
  <c r="W266" i="47" s="1"/>
  <c r="W267" i="47" s="1"/>
  <c r="W268" i="47" s="1"/>
  <c r="W269" i="47" s="1"/>
  <c r="W270" i="47" s="1"/>
  <c r="W271" i="47" s="1"/>
  <c r="W272" i="47" s="1"/>
  <c r="W273" i="47" s="1"/>
  <c r="W274" i="47" s="1"/>
  <c r="W275" i="47" s="1"/>
  <c r="W276" i="47" s="1"/>
  <c r="W277" i="47" s="1"/>
  <c r="W278" i="47" s="1"/>
  <c r="W279" i="47" s="1"/>
  <c r="W280" i="47" s="1"/>
  <c r="W281" i="47" s="1"/>
  <c r="W282" i="47" s="1"/>
  <c r="W283" i="47" s="1"/>
  <c r="W284" i="47" s="1"/>
  <c r="W285" i="47" s="1"/>
  <c r="W286" i="47" s="1"/>
  <c r="W287" i="47" s="1"/>
  <c r="W288" i="47" s="1"/>
  <c r="W289" i="47" s="1"/>
  <c r="W290" i="47" s="1"/>
  <c r="W291" i="47" s="1"/>
  <c r="W292" i="47" s="1"/>
  <c r="W293" i="47" s="1"/>
  <c r="W294" i="47" s="1"/>
  <c r="W295" i="47" s="1"/>
  <c r="W296" i="47" s="1"/>
  <c r="W297" i="47" s="1"/>
  <c r="W298" i="47" s="1"/>
  <c r="W299" i="47" s="1"/>
  <c r="W300" i="47" s="1"/>
  <c r="W301" i="47" s="1"/>
  <c r="W302" i="47" s="1"/>
  <c r="W303" i="47" s="1"/>
  <c r="W304" i="47" s="1"/>
  <c r="W305" i="47" s="1"/>
  <c r="W306" i="47" s="1"/>
  <c r="W307" i="47" s="1"/>
  <c r="W308" i="47" s="1"/>
  <c r="W309" i="47" s="1"/>
  <c r="W310" i="47" s="1"/>
  <c r="W311" i="47" s="1"/>
  <c r="W312" i="47" s="1"/>
  <c r="W313" i="47" s="1"/>
  <c r="W314" i="47" s="1"/>
  <c r="W315" i="47" s="1"/>
  <c r="W316" i="47" s="1"/>
  <c r="W317" i="47" s="1"/>
  <c r="W318" i="47" s="1"/>
  <c r="W319" i="47" s="1"/>
  <c r="W320" i="47" s="1"/>
  <c r="W321" i="47" s="1"/>
  <c r="W322" i="47" s="1"/>
  <c r="W323" i="47" s="1"/>
  <c r="W324" i="47" s="1"/>
  <c r="W325" i="47" s="1"/>
  <c r="W326" i="47" s="1"/>
  <c r="W327" i="47" s="1"/>
  <c r="W328" i="47" s="1"/>
  <c r="W329" i="47" s="1"/>
  <c r="W330" i="47" s="1"/>
  <c r="W331" i="47" s="1"/>
  <c r="W332" i="47" s="1"/>
  <c r="W333" i="47" s="1"/>
  <c r="W334" i="47" s="1"/>
  <c r="W335" i="47" s="1"/>
  <c r="W336" i="47" s="1"/>
  <c r="W337" i="47" s="1"/>
  <c r="W338" i="47" s="1"/>
  <c r="W339" i="47" s="1"/>
  <c r="W340" i="47" s="1"/>
  <c r="W341" i="47" s="1"/>
  <c r="W342" i="47" s="1"/>
  <c r="W343" i="47" s="1"/>
  <c r="W344" i="47" s="1"/>
  <c r="W345" i="47" s="1"/>
  <c r="W346" i="47" s="1"/>
  <c r="W347" i="47" s="1"/>
  <c r="W348" i="47" s="1"/>
  <c r="W349" i="47" s="1"/>
  <c r="W350" i="47" s="1"/>
  <c r="W351" i="47" s="1"/>
  <c r="W352" i="47" s="1"/>
  <c r="W353" i="47" s="1"/>
  <c r="W354" i="47" s="1"/>
  <c r="W355" i="47" s="1"/>
  <c r="W356" i="47" s="1"/>
  <c r="W357" i="47" s="1"/>
  <c r="W358" i="47" s="1"/>
  <c r="W359" i="47" s="1"/>
  <c r="W360" i="47" s="1"/>
  <c r="W361" i="47" s="1"/>
  <c r="W362" i="47" s="1"/>
  <c r="W4" i="47"/>
  <c r="W3" i="47"/>
  <c r="J10" i="23"/>
  <c r="L29" i="50"/>
  <c r="A29" i="50"/>
  <c r="L28" i="50"/>
  <c r="A28" i="50"/>
  <c r="L27" i="50"/>
  <c r="A27" i="50"/>
  <c r="L26" i="50"/>
  <c r="A26" i="50"/>
  <c r="L25" i="50"/>
  <c r="A25" i="50"/>
  <c r="L24" i="50"/>
  <c r="A24" i="50"/>
  <c r="L23" i="50"/>
  <c r="A23" i="50"/>
  <c r="L22" i="50"/>
  <c r="A22" i="50"/>
  <c r="L21" i="50"/>
  <c r="A21" i="50"/>
  <c r="L20" i="50"/>
  <c r="A20" i="50"/>
  <c r="L19" i="50"/>
  <c r="A19" i="50"/>
  <c r="L18" i="50"/>
  <c r="A18" i="50"/>
  <c r="L17" i="50"/>
  <c r="A17" i="50"/>
  <c r="L16" i="50"/>
  <c r="A16" i="50"/>
  <c r="L15" i="50"/>
  <c r="A15" i="50"/>
  <c r="W9" i="50"/>
  <c r="U9" i="50"/>
  <c r="K9" i="50"/>
  <c r="K10" i="50" s="1"/>
  <c r="J9" i="50"/>
  <c r="J10" i="50" s="1"/>
  <c r="I9" i="50"/>
  <c r="I10" i="50" s="1"/>
  <c r="H9" i="50"/>
  <c r="H10" i="50" s="1"/>
  <c r="E9" i="50"/>
  <c r="E10" i="50" s="1"/>
  <c r="D9" i="50"/>
  <c r="D10" i="50" s="1"/>
  <c r="C9" i="50"/>
  <c r="C10" i="50" s="1"/>
  <c r="B9" i="50"/>
  <c r="B10" i="50" s="1"/>
  <c r="W8" i="50"/>
  <c r="U8" i="50"/>
  <c r="K8" i="50"/>
  <c r="J8" i="50"/>
  <c r="I8" i="50"/>
  <c r="H8" i="50"/>
  <c r="L11" i="50" s="1"/>
  <c r="E8" i="50"/>
  <c r="F8" i="50" s="1"/>
  <c r="D8" i="50"/>
  <c r="C8" i="50"/>
  <c r="F11" i="50" s="1"/>
  <c r="B8" i="50"/>
  <c r="W7" i="50"/>
  <c r="U7" i="50"/>
  <c r="L7" i="50"/>
  <c r="F7" i="50"/>
  <c r="W6" i="50"/>
  <c r="U6" i="50"/>
  <c r="L29" i="49"/>
  <c r="A29" i="49"/>
  <c r="L28" i="49"/>
  <c r="A28" i="49"/>
  <c r="L27" i="49"/>
  <c r="A27" i="49"/>
  <c r="L26" i="49"/>
  <c r="A26" i="49"/>
  <c r="L25" i="49"/>
  <c r="A25" i="49"/>
  <c r="L24" i="49"/>
  <c r="A24" i="49"/>
  <c r="L23" i="49"/>
  <c r="A23" i="49"/>
  <c r="L22" i="49"/>
  <c r="A22" i="49"/>
  <c r="L21" i="49"/>
  <c r="A21" i="49"/>
  <c r="L20" i="49"/>
  <c r="A20" i="49"/>
  <c r="L19" i="49"/>
  <c r="A19" i="49"/>
  <c r="L18" i="49"/>
  <c r="A18" i="49"/>
  <c r="L17" i="49"/>
  <c r="A17" i="49"/>
  <c r="L16" i="49"/>
  <c r="A16" i="49"/>
  <c r="L15" i="49"/>
  <c r="A15" i="49"/>
  <c r="L11" i="49"/>
  <c r="F11" i="49"/>
  <c r="W9" i="49"/>
  <c r="U9" i="49"/>
  <c r="K9" i="49"/>
  <c r="J9" i="49"/>
  <c r="I9" i="49"/>
  <c r="H9" i="49"/>
  <c r="L9" i="49" s="1"/>
  <c r="E9" i="49"/>
  <c r="D9" i="49"/>
  <c r="C9" i="49"/>
  <c r="B9" i="49"/>
  <c r="F9" i="49" s="1"/>
  <c r="W8" i="49"/>
  <c r="U8" i="49"/>
  <c r="L8" i="49"/>
  <c r="K8" i="49"/>
  <c r="K10" i="49" s="1"/>
  <c r="J8" i="49"/>
  <c r="J10" i="49" s="1"/>
  <c r="I8" i="49"/>
  <c r="I10" i="49" s="1"/>
  <c r="H8" i="49"/>
  <c r="E8" i="49"/>
  <c r="E10" i="49" s="1"/>
  <c r="D8" i="49"/>
  <c r="D10" i="49" s="1"/>
  <c r="C8" i="49"/>
  <c r="C10" i="49" s="1"/>
  <c r="B8" i="49"/>
  <c r="B10" i="49" s="1"/>
  <c r="W7" i="49"/>
  <c r="U7" i="49"/>
  <c r="L7" i="49"/>
  <c r="F7" i="49"/>
  <c r="F8" i="49" s="1"/>
  <c r="W6" i="49"/>
  <c r="U6" i="49"/>
  <c r="M12" i="48"/>
  <c r="L12" i="48"/>
  <c r="I12" i="48"/>
  <c r="J12" i="48" s="1"/>
  <c r="L11" i="48"/>
  <c r="M11" i="48" s="1"/>
  <c r="I11" i="48"/>
  <c r="J11" i="48" s="1"/>
  <c r="L10" i="48"/>
  <c r="M10" i="48" s="1"/>
  <c r="I10" i="48"/>
  <c r="J10" i="48" s="1"/>
  <c r="G10" i="48"/>
  <c r="G11" i="48" s="1"/>
  <c r="U9" i="48"/>
  <c r="T9" i="48"/>
  <c r="S9" i="48"/>
  <c r="V9" i="48" s="1"/>
  <c r="Q9" i="48"/>
  <c r="P9" i="48"/>
  <c r="O9" i="48"/>
  <c r="R9" i="48" s="1"/>
  <c r="U8" i="48"/>
  <c r="V8" i="48" s="1"/>
  <c r="T8" i="48"/>
  <c r="S8" i="48"/>
  <c r="R8" i="48"/>
  <c r="Q8" i="48"/>
  <c r="P8" i="48"/>
  <c r="O8" i="48"/>
  <c r="U7" i="48"/>
  <c r="T7" i="48"/>
  <c r="V7" i="48" s="1"/>
  <c r="S7" i="48"/>
  <c r="Q7" i="48"/>
  <c r="P7" i="48"/>
  <c r="O7" i="48"/>
  <c r="R7" i="48" s="1"/>
  <c r="G6" i="48"/>
  <c r="C6" i="48"/>
  <c r="E25" i="45"/>
  <c r="B25" i="45"/>
  <c r="D25" i="45" s="1"/>
  <c r="A22" i="45"/>
  <c r="J10" i="45"/>
  <c r="J9" i="45"/>
  <c r="J11" i="45" s="1"/>
  <c r="E8" i="45"/>
  <c r="J6" i="45"/>
  <c r="H6" i="45"/>
  <c r="E5" i="45"/>
  <c r="E6" i="45" s="1"/>
  <c r="E7" i="45" s="1"/>
  <c r="E9" i="45" s="1"/>
  <c r="L4" i="45"/>
  <c r="K4" i="45"/>
  <c r="L17" i="40"/>
  <c r="J17" i="40"/>
  <c r="H17" i="40"/>
  <c r="L16" i="40"/>
  <c r="J16" i="40"/>
  <c r="H16" i="40"/>
  <c r="L15" i="40"/>
  <c r="O5" i="40"/>
  <c r="N5" i="40"/>
  <c r="N6" i="40" s="1"/>
  <c r="O4" i="40"/>
  <c r="E34" i="39"/>
  <c r="EZ33" i="39"/>
  <c r="B32" i="39"/>
  <c r="E8" i="38"/>
  <c r="E7" i="38"/>
  <c r="D34" i="39" s="1"/>
  <c r="E6" i="38"/>
  <c r="H15" i="40" s="1"/>
  <c r="E8" i="37"/>
  <c r="E7" i="37"/>
  <c r="E6" i="37"/>
  <c r="C10" i="36"/>
  <c r="C9" i="36"/>
  <c r="I69" i="43"/>
  <c r="I49" i="43"/>
  <c r="G44" i="43"/>
  <c r="G42" i="43"/>
  <c r="G37" i="43"/>
  <c r="G32" i="43"/>
  <c r="G26" i="43"/>
  <c r="G25" i="43"/>
  <c r="G24" i="43"/>
  <c r="G21" i="43"/>
  <c r="P13" i="43"/>
  <c r="N10" i="43"/>
  <c r="O10" i="43" s="1"/>
  <c r="D7" i="43"/>
  <c r="D8" i="43" s="1"/>
  <c r="D9" i="43" s="1"/>
  <c r="L4" i="43"/>
  <c r="F4" i="43"/>
  <c r="F3" i="43"/>
  <c r="C3" i="43"/>
  <c r="C2" i="43"/>
  <c r="O1" i="43"/>
  <c r="N30" i="43" s="1"/>
  <c r="O30" i="43" s="1"/>
  <c r="F1" i="43"/>
  <c r="D12" i="44"/>
  <c r="D11" i="44"/>
  <c r="B8" i="44"/>
  <c r="B6" i="44"/>
  <c r="K5" i="44"/>
  <c r="L2" i="44"/>
  <c r="K18" i="44" s="1"/>
  <c r="F2" i="43" s="1"/>
  <c r="I72" i="41"/>
  <c r="I68" i="41"/>
  <c r="I51" i="41"/>
  <c r="G46" i="41"/>
  <c r="G39" i="41"/>
  <c r="G32" i="41"/>
  <c r="G24" i="41"/>
  <c r="G22" i="41"/>
  <c r="F4" i="41"/>
  <c r="O3" i="41"/>
  <c r="F3" i="41"/>
  <c r="C3" i="41"/>
  <c r="I67" i="41" s="1"/>
  <c r="O2" i="41"/>
  <c r="C2" i="41"/>
  <c r="F6" i="41" s="1"/>
  <c r="F1" i="41"/>
  <c r="Q59" i="41" s="1"/>
  <c r="K18" i="42"/>
  <c r="F2" i="41" s="1"/>
  <c r="D12" i="42"/>
  <c r="D11" i="42"/>
  <c r="I8" i="42"/>
  <c r="B8" i="42"/>
  <c r="B6" i="42"/>
  <c r="J3" i="42"/>
  <c r="J5" i="42" s="1"/>
  <c r="G11" i="33"/>
  <c r="G4" i="33"/>
  <c r="F4" i="33"/>
  <c r="O3" i="33"/>
  <c r="O4" i="33" s="1"/>
  <c r="O5" i="33" s="1"/>
  <c r="O6" i="33" s="1"/>
  <c r="O7" i="33" s="1"/>
  <c r="O8" i="33" s="1"/>
  <c r="O9" i="33" s="1"/>
  <c r="O10" i="33" s="1"/>
  <c r="O11" i="33" s="1"/>
  <c r="O12" i="33" s="1"/>
  <c r="O13" i="33" s="1"/>
  <c r="O14" i="33" s="1"/>
  <c r="O15" i="33" s="1"/>
  <c r="O16" i="33" s="1"/>
  <c r="O17" i="33" s="1"/>
  <c r="O18" i="33" s="1"/>
  <c r="O19" i="33" s="1"/>
  <c r="O20" i="33" s="1"/>
  <c r="O21" i="33" s="1"/>
  <c r="O22" i="33" s="1"/>
  <c r="G3" i="33"/>
  <c r="F3" i="33"/>
  <c r="L8" i="32"/>
  <c r="F16" i="32"/>
  <c r="F8" i="32"/>
  <c r="C29" i="30"/>
  <c r="I29" i="30" s="1"/>
  <c r="I26" i="30"/>
  <c r="F26" i="30"/>
  <c r="E20" i="30"/>
  <c r="G18" i="30"/>
  <c r="E18" i="30"/>
  <c r="C13" i="30"/>
  <c r="E13" i="30" s="1"/>
  <c r="B13" i="30"/>
  <c r="H12" i="30"/>
  <c r="E12" i="30"/>
  <c r="G12" i="30" s="1"/>
  <c r="C12" i="30"/>
  <c r="B12" i="30"/>
  <c r="G11" i="30"/>
  <c r="E11" i="30"/>
  <c r="H11" i="30" s="1"/>
  <c r="C11" i="30"/>
  <c r="B11" i="30"/>
  <c r="J10" i="30"/>
  <c r="H10" i="30"/>
  <c r="C10" i="30"/>
  <c r="E10" i="30" s="1"/>
  <c r="G10" i="30" s="1"/>
  <c r="B10" i="30"/>
  <c r="J9" i="30"/>
  <c r="G9" i="30"/>
  <c r="E9" i="30"/>
  <c r="H9" i="30" s="1"/>
  <c r="C9" i="30"/>
  <c r="B9" i="30"/>
  <c r="J8" i="30"/>
  <c r="C8" i="30"/>
  <c r="E8" i="30" s="1"/>
  <c r="H8" i="30" s="1"/>
  <c r="B8" i="30"/>
  <c r="J7" i="30"/>
  <c r="E7" i="30"/>
  <c r="C7" i="30"/>
  <c r="B7" i="30"/>
  <c r="C6" i="30"/>
  <c r="E6" i="30" s="1"/>
  <c r="B6" i="30"/>
  <c r="J5" i="30"/>
  <c r="G5" i="30"/>
  <c r="E5" i="30"/>
  <c r="H5" i="30" s="1"/>
  <c r="C5" i="30"/>
  <c r="B5" i="30"/>
  <c r="J4" i="30"/>
  <c r="C19" i="30" s="1"/>
  <c r="H4" i="30"/>
  <c r="G4" i="30"/>
  <c r="C4" i="30"/>
  <c r="E4" i="30" s="1"/>
  <c r="B4" i="30"/>
  <c r="C3" i="30"/>
  <c r="E3" i="30" s="1"/>
  <c r="B3" i="30"/>
  <c r="B1" i="30"/>
  <c r="O18" i="29"/>
  <c r="N18" i="29" s="1"/>
  <c r="O16" i="29"/>
  <c r="N16" i="29"/>
  <c r="N15" i="29"/>
  <c r="N14" i="29"/>
  <c r="O13" i="29"/>
  <c r="N13" i="29"/>
  <c r="O12" i="29"/>
  <c r="N12" i="29"/>
  <c r="O11" i="29"/>
  <c r="N11" i="29"/>
  <c r="O8" i="29"/>
  <c r="O7" i="29"/>
  <c r="O15" i="29" s="1"/>
  <c r="O6" i="29"/>
  <c r="O14" i="29" s="1"/>
  <c r="F2" i="29"/>
  <c r="J3" i="30" s="1"/>
  <c r="B15" i="30" s="1"/>
  <c r="J298" i="26"/>
  <c r="J297" i="26"/>
  <c r="J291" i="26"/>
  <c r="J287" i="26"/>
  <c r="J282" i="26"/>
  <c r="J275" i="26"/>
  <c r="J272" i="26"/>
  <c r="J271" i="26"/>
  <c r="J265" i="26"/>
  <c r="J258" i="26"/>
  <c r="J250" i="26"/>
  <c r="J247" i="26"/>
  <c r="J243" i="26"/>
  <c r="J242" i="26"/>
  <c r="J239" i="26"/>
  <c r="J236" i="26"/>
  <c r="J232" i="26"/>
  <c r="J231" i="26"/>
  <c r="J225" i="26"/>
  <c r="J220" i="26"/>
  <c r="J216" i="26"/>
  <c r="J210" i="26"/>
  <c r="J209" i="26"/>
  <c r="J201" i="26"/>
  <c r="J199" i="26"/>
  <c r="J192" i="26"/>
  <c r="J188" i="26"/>
  <c r="J186" i="26"/>
  <c r="J185" i="26"/>
  <c r="J184" i="26"/>
  <c r="J179" i="26"/>
  <c r="J177" i="26"/>
  <c r="J176" i="26"/>
  <c r="J175" i="26"/>
  <c r="J170" i="26"/>
  <c r="J169" i="26"/>
  <c r="J163" i="26"/>
  <c r="J159" i="26"/>
  <c r="J154" i="26"/>
  <c r="J147" i="26"/>
  <c r="J146" i="26"/>
  <c r="J144" i="26"/>
  <c r="J143" i="26"/>
  <c r="J134" i="26"/>
  <c r="J126" i="26"/>
  <c r="J118" i="26"/>
  <c r="J110" i="26"/>
  <c r="J102" i="26"/>
  <c r="J94" i="26"/>
  <c r="J86" i="26"/>
  <c r="J78" i="26"/>
  <c r="J70" i="26"/>
  <c r="J62" i="26"/>
  <c r="J54" i="26"/>
  <c r="J46" i="26"/>
  <c r="J38" i="26"/>
  <c r="J30" i="26"/>
  <c r="J22" i="26"/>
  <c r="E18" i="26"/>
  <c r="B18" i="26"/>
  <c r="J17" i="26"/>
  <c r="F16" i="26"/>
  <c r="C16" i="26"/>
  <c r="J13" i="26"/>
  <c r="J12" i="26"/>
  <c r="J11" i="26"/>
  <c r="D8" i="26"/>
  <c r="C7" i="26"/>
  <c r="J4" i="26"/>
  <c r="M2" i="26"/>
  <c r="C14" i="25"/>
  <c r="H10" i="25" s="1"/>
  <c r="H11" i="25" s="1"/>
  <c r="C12" i="25"/>
  <c r="C5" i="25"/>
  <c r="F13" i="24"/>
  <c r="G13" i="24" s="1"/>
  <c r="H13" i="24" s="1"/>
  <c r="T13" i="24" s="1"/>
  <c r="B13" i="24"/>
  <c r="B14" i="24" s="1"/>
  <c r="J8" i="24"/>
  <c r="O2" i="24"/>
  <c r="O1" i="24"/>
  <c r="J52" i="46"/>
  <c r="J51" i="46"/>
  <c r="J50" i="46"/>
  <c r="J49" i="46"/>
  <c r="J48" i="46"/>
  <c r="J47" i="46"/>
  <c r="J46" i="46"/>
  <c r="J45" i="46"/>
  <c r="J44" i="46"/>
  <c r="J43" i="46"/>
  <c r="J42" i="46"/>
  <c r="J41" i="46"/>
  <c r="J40" i="46"/>
  <c r="J39" i="46"/>
  <c r="J38" i="46"/>
  <c r="J37" i="46"/>
  <c r="J36" i="46"/>
  <c r="J35" i="46"/>
  <c r="J34" i="46"/>
  <c r="J33" i="46"/>
  <c r="J32" i="46"/>
  <c r="J31" i="46"/>
  <c r="J30" i="46"/>
  <c r="J29" i="46"/>
  <c r="J28" i="46"/>
  <c r="J27" i="46"/>
  <c r="J26" i="46"/>
  <c r="J25" i="46"/>
  <c r="J24" i="46"/>
  <c r="J23" i="46"/>
  <c r="J22" i="46"/>
  <c r="J21" i="46"/>
  <c r="J20" i="46"/>
  <c r="J19" i="46"/>
  <c r="J18" i="46"/>
  <c r="J17" i="46"/>
  <c r="J16" i="46"/>
  <c r="J15" i="46"/>
  <c r="J14" i="46"/>
  <c r="J13" i="46"/>
  <c r="D13" i="46"/>
  <c r="B13" i="46"/>
  <c r="B14" i="46" s="1"/>
  <c r="B15" i="46" s="1"/>
  <c r="B16" i="46" s="1"/>
  <c r="B17" i="46" s="1"/>
  <c r="B18" i="46" s="1"/>
  <c r="B19" i="46" s="1"/>
  <c r="B20" i="46" s="1"/>
  <c r="B21" i="46" s="1"/>
  <c r="B22" i="46" s="1"/>
  <c r="B23" i="46" s="1"/>
  <c r="B24" i="46" s="1"/>
  <c r="B25" i="46" s="1"/>
  <c r="B26" i="46" s="1"/>
  <c r="B27" i="46" s="1"/>
  <c r="B28" i="46" s="1"/>
  <c r="B29" i="46" s="1"/>
  <c r="B30" i="46" s="1"/>
  <c r="B31" i="46" s="1"/>
  <c r="B32" i="46" s="1"/>
  <c r="B33" i="46" s="1"/>
  <c r="B34" i="46" s="1"/>
  <c r="B35" i="46" s="1"/>
  <c r="B36" i="46" s="1"/>
  <c r="B37" i="46" s="1"/>
  <c r="B38" i="46" s="1"/>
  <c r="B39" i="46" s="1"/>
  <c r="B40" i="46" s="1"/>
  <c r="B41" i="46" s="1"/>
  <c r="B42" i="46" s="1"/>
  <c r="B43" i="46" s="1"/>
  <c r="B44" i="46" s="1"/>
  <c r="B45" i="46" s="1"/>
  <c r="B46" i="46" s="1"/>
  <c r="B47" i="46" s="1"/>
  <c r="B48" i="46" s="1"/>
  <c r="B49" i="46" s="1"/>
  <c r="B50" i="46" s="1"/>
  <c r="B51" i="46" s="1"/>
  <c r="B52" i="46" s="1"/>
  <c r="J12" i="46"/>
  <c r="E12" i="46"/>
  <c r="D12" i="46"/>
  <c r="L12" i="46" s="1"/>
  <c r="C12" i="46"/>
  <c r="F12" i="46" s="1"/>
  <c r="B12" i="46"/>
  <c r="S4" i="46"/>
  <c r="R5" i="46" s="1"/>
  <c r="Q4" i="46"/>
  <c r="S3" i="46"/>
  <c r="Q3" i="46"/>
  <c r="S2" i="46"/>
  <c r="Q2" i="46"/>
  <c r="D21" i="23"/>
  <c r="D22" i="23" s="1"/>
  <c r="D23" i="23" s="1"/>
  <c r="D24" i="23" s="1"/>
  <c r="D25" i="23" s="1"/>
  <c r="D26" i="23" s="1"/>
  <c r="D27" i="23" s="1"/>
  <c r="D28" i="23" s="1"/>
  <c r="D29" i="23" s="1"/>
  <c r="D30" i="23" s="1"/>
  <c r="D31" i="23" s="1"/>
  <c r="D32" i="23" s="1"/>
  <c r="D33" i="23" s="1"/>
  <c r="D34" i="23" s="1"/>
  <c r="D35" i="23" s="1"/>
  <c r="D36" i="23" s="1"/>
  <c r="D37" i="23" s="1"/>
  <c r="D38" i="23" s="1"/>
  <c r="D39" i="23" s="1"/>
  <c r="D40" i="23" s="1"/>
  <c r="D41" i="23" s="1"/>
  <c r="D42" i="23" s="1"/>
  <c r="D43" i="23" s="1"/>
  <c r="D44" i="23" s="1"/>
  <c r="D45" i="23" s="1"/>
  <c r="D46" i="23" s="1"/>
  <c r="D47" i="23" s="1"/>
  <c r="D48" i="23" s="1"/>
  <c r="D49" i="23" s="1"/>
  <c r="D50" i="23" s="1"/>
  <c r="D51" i="23" s="1"/>
  <c r="D52" i="23" s="1"/>
  <c r="D53" i="23" s="1"/>
  <c r="D54" i="23" s="1"/>
  <c r="D55" i="23" s="1"/>
  <c r="D56" i="23" s="1"/>
  <c r="D57" i="23" s="1"/>
  <c r="D58" i="23" s="1"/>
  <c r="D59" i="23" s="1"/>
  <c r="D60" i="23" s="1"/>
  <c r="D61" i="23" s="1"/>
  <c r="D62" i="23" s="1"/>
  <c r="D63" i="23" s="1"/>
  <c r="D64" i="23" s="1"/>
  <c r="D65" i="23" s="1"/>
  <c r="D66" i="23" s="1"/>
  <c r="D67" i="23" s="1"/>
  <c r="D68" i="23" s="1"/>
  <c r="D69" i="23" s="1"/>
  <c r="D20" i="23"/>
  <c r="C20" i="23"/>
  <c r="E20" i="23" s="1"/>
  <c r="F20" i="23" s="1"/>
  <c r="E10" i="23"/>
  <c r="O4" i="23"/>
  <c r="B39" i="47"/>
  <c r="C37" i="47"/>
  <c r="C36" i="47"/>
  <c r="C35" i="47"/>
  <c r="C39" i="47" s="1"/>
  <c r="B30" i="47"/>
  <c r="F27" i="47"/>
  <c r="J19" i="47"/>
  <c r="E15" i="47"/>
  <c r="Z14" i="47"/>
  <c r="Z12" i="47"/>
  <c r="Z13" i="47" s="1"/>
  <c r="Z15" i="47" s="1"/>
  <c r="E11" i="47"/>
  <c r="B11" i="47"/>
  <c r="Z8" i="47"/>
  <c r="C8" i="47"/>
  <c r="J127" i="47" s="1"/>
  <c r="Z7" i="47"/>
  <c r="Z9" i="47" s="1"/>
  <c r="F6" i="47"/>
  <c r="E5" i="47"/>
  <c r="O4" i="47"/>
  <c r="O5" i="47" s="1"/>
  <c r="O6" i="47" s="1"/>
  <c r="O7" i="47" s="1"/>
  <c r="O8" i="47" s="1"/>
  <c r="O9" i="47" s="1"/>
  <c r="O10" i="47" s="1"/>
  <c r="O11" i="47" s="1"/>
  <c r="O12" i="47" s="1"/>
  <c r="O13" i="47" s="1"/>
  <c r="O14" i="47" s="1"/>
  <c r="O15" i="47" s="1"/>
  <c r="O16" i="47" s="1"/>
  <c r="O17" i="47" s="1"/>
  <c r="O18" i="47" s="1"/>
  <c r="O19" i="47" s="1"/>
  <c r="O20" i="47" s="1"/>
  <c r="O21" i="47" s="1"/>
  <c r="O22" i="47" s="1"/>
  <c r="O23" i="47" s="1"/>
  <c r="O24" i="47" s="1"/>
  <c r="O25" i="47" s="1"/>
  <c r="O26" i="47" s="1"/>
  <c r="O27" i="47" s="1"/>
  <c r="O28" i="47" s="1"/>
  <c r="O29" i="47" s="1"/>
  <c r="O30" i="47" s="1"/>
  <c r="O31" i="47" s="1"/>
  <c r="O32" i="47" s="1"/>
  <c r="O33" i="47" s="1"/>
  <c r="O34" i="47" s="1"/>
  <c r="O35" i="47" s="1"/>
  <c r="O36" i="47" s="1"/>
  <c r="O37" i="47" s="1"/>
  <c r="O38" i="47" s="1"/>
  <c r="O39" i="47" s="1"/>
  <c r="O40" i="47" s="1"/>
  <c r="O41" i="47" s="1"/>
  <c r="O42" i="47" s="1"/>
  <c r="O43" i="47" s="1"/>
  <c r="O44" i="47" s="1"/>
  <c r="O45" i="47" s="1"/>
  <c r="O46" i="47" s="1"/>
  <c r="O47" i="47" s="1"/>
  <c r="O48" i="47" s="1"/>
  <c r="O49" i="47" s="1"/>
  <c r="O50" i="47" s="1"/>
  <c r="O51" i="47" s="1"/>
  <c r="O52" i="47" s="1"/>
  <c r="O53" i="47" s="1"/>
  <c r="O54" i="47" s="1"/>
  <c r="O55" i="47" s="1"/>
  <c r="O56" i="47" s="1"/>
  <c r="O57" i="47" s="1"/>
  <c r="O58" i="47" s="1"/>
  <c r="O59" i="47" s="1"/>
  <c r="O60" i="47" s="1"/>
  <c r="O61" i="47" s="1"/>
  <c r="O62" i="47" s="1"/>
  <c r="O63" i="47" s="1"/>
  <c r="O64" i="47" s="1"/>
  <c r="O65" i="47" s="1"/>
  <c r="O66" i="47" s="1"/>
  <c r="O67" i="47" s="1"/>
  <c r="O68" i="47" s="1"/>
  <c r="O69" i="47" s="1"/>
  <c r="O70" i="47" s="1"/>
  <c r="O71" i="47" s="1"/>
  <c r="O72" i="47" s="1"/>
  <c r="O73" i="47" s="1"/>
  <c r="O74" i="47" s="1"/>
  <c r="O75" i="47" s="1"/>
  <c r="O76" i="47" s="1"/>
  <c r="O77" i="47" s="1"/>
  <c r="O78" i="47" s="1"/>
  <c r="O79" i="47" s="1"/>
  <c r="O80" i="47" s="1"/>
  <c r="O81" i="47" s="1"/>
  <c r="O82" i="47" s="1"/>
  <c r="O83" i="47" s="1"/>
  <c r="O84" i="47" s="1"/>
  <c r="O85" i="47" s="1"/>
  <c r="O86" i="47" s="1"/>
  <c r="O87" i="47" s="1"/>
  <c r="O88" i="47" s="1"/>
  <c r="O89" i="47" s="1"/>
  <c r="O90" i="47" s="1"/>
  <c r="O91" i="47" s="1"/>
  <c r="O92" i="47" s="1"/>
  <c r="O93" i="47" s="1"/>
  <c r="O94" i="47" s="1"/>
  <c r="O95" i="47" s="1"/>
  <c r="O96" i="47" s="1"/>
  <c r="O97" i="47" s="1"/>
  <c r="O98" i="47" s="1"/>
  <c r="O99" i="47" s="1"/>
  <c r="O100" i="47" s="1"/>
  <c r="O101" i="47" s="1"/>
  <c r="O102" i="47" s="1"/>
  <c r="O103" i="47" s="1"/>
  <c r="O104" i="47" s="1"/>
  <c r="O105" i="47" s="1"/>
  <c r="O106" i="47" s="1"/>
  <c r="O107" i="47" s="1"/>
  <c r="O108" i="47" s="1"/>
  <c r="O109" i="47" s="1"/>
  <c r="O110" i="47" s="1"/>
  <c r="O111" i="47" s="1"/>
  <c r="O112" i="47" s="1"/>
  <c r="O113" i="47" s="1"/>
  <c r="O114" i="47" s="1"/>
  <c r="O115" i="47" s="1"/>
  <c r="O116" i="47" s="1"/>
  <c r="O117" i="47" s="1"/>
  <c r="O118" i="47" s="1"/>
  <c r="O119" i="47" s="1"/>
  <c r="O120" i="47" s="1"/>
  <c r="O121" i="47" s="1"/>
  <c r="O122" i="47" s="1"/>
  <c r="O123" i="47" s="1"/>
  <c r="O124" i="47" s="1"/>
  <c r="O125" i="47" s="1"/>
  <c r="O126" i="47" s="1"/>
  <c r="O127" i="47" s="1"/>
  <c r="O128" i="47" s="1"/>
  <c r="O129" i="47" s="1"/>
  <c r="O130" i="47" s="1"/>
  <c r="O131" i="47" s="1"/>
  <c r="O132" i="47" s="1"/>
  <c r="O133" i="47" s="1"/>
  <c r="O134" i="47" s="1"/>
  <c r="O135" i="47" s="1"/>
  <c r="O136" i="47" s="1"/>
  <c r="O137" i="47" s="1"/>
  <c r="O138" i="47" s="1"/>
  <c r="O139" i="47" s="1"/>
  <c r="O140" i="47" s="1"/>
  <c r="O141" i="47" s="1"/>
  <c r="O142" i="47" s="1"/>
  <c r="O143" i="47" s="1"/>
  <c r="O144" i="47" s="1"/>
  <c r="O145" i="47" s="1"/>
  <c r="O146" i="47" s="1"/>
  <c r="O147" i="47" s="1"/>
  <c r="O148" i="47" s="1"/>
  <c r="O149" i="47" s="1"/>
  <c r="O150" i="47" s="1"/>
  <c r="O151" i="47" s="1"/>
  <c r="O152" i="47" s="1"/>
  <c r="O153" i="47" s="1"/>
  <c r="O154" i="47" s="1"/>
  <c r="O155" i="47" s="1"/>
  <c r="O156" i="47" s="1"/>
  <c r="O157" i="47" s="1"/>
  <c r="O158" i="47" s="1"/>
  <c r="O159" i="47" s="1"/>
  <c r="O160" i="47" s="1"/>
  <c r="O161" i="47" s="1"/>
  <c r="O162" i="47" s="1"/>
  <c r="O163" i="47" s="1"/>
  <c r="O164" i="47" s="1"/>
  <c r="O165" i="47" s="1"/>
  <c r="O166" i="47" s="1"/>
  <c r="O167" i="47" s="1"/>
  <c r="O168" i="47" s="1"/>
  <c r="O169" i="47" s="1"/>
  <c r="O170" i="47" s="1"/>
  <c r="O171" i="47" s="1"/>
  <c r="O172" i="47" s="1"/>
  <c r="O173" i="47" s="1"/>
  <c r="O174" i="47" s="1"/>
  <c r="O175" i="47" s="1"/>
  <c r="O176" i="47" s="1"/>
  <c r="O177" i="47" s="1"/>
  <c r="O178" i="47" s="1"/>
  <c r="O179" i="47" s="1"/>
  <c r="O180" i="47" s="1"/>
  <c r="O181" i="47" s="1"/>
  <c r="O182" i="47" s="1"/>
  <c r="O183" i="47" s="1"/>
  <c r="O184" i="47" s="1"/>
  <c r="O185" i="47" s="1"/>
  <c r="O186" i="47" s="1"/>
  <c r="O187" i="47" s="1"/>
  <c r="O188" i="47" s="1"/>
  <c r="O189" i="47" s="1"/>
  <c r="O190" i="47" s="1"/>
  <c r="O191" i="47" s="1"/>
  <c r="O192" i="47" s="1"/>
  <c r="O193" i="47" s="1"/>
  <c r="O194" i="47" s="1"/>
  <c r="O195" i="47" s="1"/>
  <c r="O196" i="47" s="1"/>
  <c r="O197" i="47" s="1"/>
  <c r="O198" i="47" s="1"/>
  <c r="O199" i="47" s="1"/>
  <c r="O200" i="47" s="1"/>
  <c r="O201" i="47" s="1"/>
  <c r="O202" i="47" s="1"/>
  <c r="O203" i="47" s="1"/>
  <c r="O204" i="47" s="1"/>
  <c r="O205" i="47" s="1"/>
  <c r="O206" i="47" s="1"/>
  <c r="O207" i="47" s="1"/>
  <c r="O208" i="47" s="1"/>
  <c r="O209" i="47" s="1"/>
  <c r="O210" i="47" s="1"/>
  <c r="O211" i="47" s="1"/>
  <c r="O212" i="47" s="1"/>
  <c r="O213" i="47" s="1"/>
  <c r="O214" i="47" s="1"/>
  <c r="O215" i="47" s="1"/>
  <c r="O216" i="47" s="1"/>
  <c r="O217" i="47" s="1"/>
  <c r="O218" i="47" s="1"/>
  <c r="O219" i="47" s="1"/>
  <c r="O220" i="47" s="1"/>
  <c r="O221" i="47" s="1"/>
  <c r="O222" i="47" s="1"/>
  <c r="O223" i="47" s="1"/>
  <c r="O224" i="47" s="1"/>
  <c r="O225" i="47" s="1"/>
  <c r="O226" i="47" s="1"/>
  <c r="O227" i="47" s="1"/>
  <c r="O228" i="47" s="1"/>
  <c r="O229" i="47" s="1"/>
  <c r="O230" i="47" s="1"/>
  <c r="O231" i="47" s="1"/>
  <c r="O232" i="47" s="1"/>
  <c r="O233" i="47" s="1"/>
  <c r="O234" i="47" s="1"/>
  <c r="O235" i="47" s="1"/>
  <c r="O236" i="47" s="1"/>
  <c r="O237" i="47" s="1"/>
  <c r="O238" i="47" s="1"/>
  <c r="O239" i="47" s="1"/>
  <c r="O240" i="47" s="1"/>
  <c r="O241" i="47" s="1"/>
  <c r="O242" i="47" s="1"/>
  <c r="O243" i="47" s="1"/>
  <c r="O244" i="47" s="1"/>
  <c r="O245" i="47" s="1"/>
  <c r="O246" i="47" s="1"/>
  <c r="O247" i="47" s="1"/>
  <c r="O248" i="47" s="1"/>
  <c r="O249" i="47" s="1"/>
  <c r="O250" i="47" s="1"/>
  <c r="O251" i="47" s="1"/>
  <c r="O252" i="47" s="1"/>
  <c r="O253" i="47" s="1"/>
  <c r="O254" i="47" s="1"/>
  <c r="O255" i="47" s="1"/>
  <c r="O256" i="47" s="1"/>
  <c r="O257" i="47" s="1"/>
  <c r="O258" i="47" s="1"/>
  <c r="O259" i="47" s="1"/>
  <c r="O260" i="47" s="1"/>
  <c r="O261" i="47" s="1"/>
  <c r="O262" i="47" s="1"/>
  <c r="O263" i="47" s="1"/>
  <c r="O264" i="47" s="1"/>
  <c r="O265" i="47" s="1"/>
  <c r="O266" i="47" s="1"/>
  <c r="O267" i="47" s="1"/>
  <c r="O268" i="47" s="1"/>
  <c r="O269" i="47" s="1"/>
  <c r="O270" i="47" s="1"/>
  <c r="O271" i="47" s="1"/>
  <c r="O272" i="47" s="1"/>
  <c r="O273" i="47" s="1"/>
  <c r="O274" i="47" s="1"/>
  <c r="O275" i="47" s="1"/>
  <c r="O276" i="47" s="1"/>
  <c r="O277" i="47" s="1"/>
  <c r="O278" i="47" s="1"/>
  <c r="O279" i="47" s="1"/>
  <c r="O280" i="47" s="1"/>
  <c r="O281" i="47" s="1"/>
  <c r="O282" i="47" s="1"/>
  <c r="O283" i="47" s="1"/>
  <c r="O284" i="47" s="1"/>
  <c r="O285" i="47" s="1"/>
  <c r="O286" i="47" s="1"/>
  <c r="O287" i="47" s="1"/>
  <c r="O288" i="47" s="1"/>
  <c r="O289" i="47" s="1"/>
  <c r="O290" i="47" s="1"/>
  <c r="O291" i="47" s="1"/>
  <c r="O292" i="47" s="1"/>
  <c r="O293" i="47" s="1"/>
  <c r="O294" i="47" s="1"/>
  <c r="O295" i="47" s="1"/>
  <c r="O296" i="47" s="1"/>
  <c r="O297" i="47" s="1"/>
  <c r="O298" i="47" s="1"/>
  <c r="O299" i="47" s="1"/>
  <c r="O300" i="47" s="1"/>
  <c r="O301" i="47" s="1"/>
  <c r="O302" i="47" s="1"/>
  <c r="O303" i="47" s="1"/>
  <c r="O304" i="47" s="1"/>
  <c r="O305" i="47" s="1"/>
  <c r="O306" i="47" s="1"/>
  <c r="O307" i="47" s="1"/>
  <c r="O308" i="47" s="1"/>
  <c r="O309" i="47" s="1"/>
  <c r="O310" i="47" s="1"/>
  <c r="O311" i="47" s="1"/>
  <c r="O312" i="47" s="1"/>
  <c r="O313" i="47" s="1"/>
  <c r="O314" i="47" s="1"/>
  <c r="O315" i="47" s="1"/>
  <c r="O316" i="47" s="1"/>
  <c r="O317" i="47" s="1"/>
  <c r="O318" i="47" s="1"/>
  <c r="O319" i="47" s="1"/>
  <c r="O320" i="47" s="1"/>
  <c r="O321" i="47" s="1"/>
  <c r="O322" i="47" s="1"/>
  <c r="O323" i="47" s="1"/>
  <c r="O324" i="47" s="1"/>
  <c r="O325" i="47" s="1"/>
  <c r="O326" i="47" s="1"/>
  <c r="O327" i="47" s="1"/>
  <c r="O328" i="47" s="1"/>
  <c r="O329" i="47" s="1"/>
  <c r="O330" i="47" s="1"/>
  <c r="O331" i="47" s="1"/>
  <c r="O332" i="47" s="1"/>
  <c r="O333" i="47" s="1"/>
  <c r="O334" i="47" s="1"/>
  <c r="O335" i="47" s="1"/>
  <c r="O336" i="47" s="1"/>
  <c r="O337" i="47" s="1"/>
  <c r="O338" i="47" s="1"/>
  <c r="O339" i="47" s="1"/>
  <c r="O340" i="47" s="1"/>
  <c r="O341" i="47" s="1"/>
  <c r="O342" i="47" s="1"/>
  <c r="O343" i="47" s="1"/>
  <c r="O344" i="47" s="1"/>
  <c r="O345" i="47" s="1"/>
  <c r="O346" i="47" s="1"/>
  <c r="O347" i="47" s="1"/>
  <c r="O348" i="47" s="1"/>
  <c r="O349" i="47" s="1"/>
  <c r="O350" i="47" s="1"/>
  <c r="O351" i="47" s="1"/>
  <c r="O352" i="47" s="1"/>
  <c r="O353" i="47" s="1"/>
  <c r="O354" i="47" s="1"/>
  <c r="O355" i="47" s="1"/>
  <c r="O356" i="47" s="1"/>
  <c r="O357" i="47" s="1"/>
  <c r="O358" i="47" s="1"/>
  <c r="O359" i="47" s="1"/>
  <c r="O360" i="47" s="1"/>
  <c r="O361" i="47" s="1"/>
  <c r="O362" i="47" s="1"/>
  <c r="O3" i="47"/>
  <c r="K3" i="47"/>
  <c r="N3" i="47" s="1"/>
  <c r="Z2" i="47"/>
  <c r="Z4" i="47" s="1"/>
  <c r="O2" i="47"/>
  <c r="M2" i="47"/>
  <c r="D22" i="22"/>
  <c r="C22" i="22"/>
  <c r="D20" i="22"/>
  <c r="C20" i="22"/>
  <c r="C19" i="22"/>
  <c r="D18" i="22"/>
  <c r="C17" i="22"/>
  <c r="C16" i="22"/>
  <c r="B16" i="22"/>
  <c r="M15" i="22"/>
  <c r="D15" i="22"/>
  <c r="C15" i="22"/>
  <c r="B15" i="22"/>
  <c r="F13" i="22"/>
  <c r="E13" i="22"/>
  <c r="E20" i="22" s="1"/>
  <c r="D13" i="22"/>
  <c r="D16" i="22" s="1"/>
  <c r="C13" i="22"/>
  <c r="P5" i="22"/>
  <c r="F3" i="22"/>
  <c r="F6" i="22" s="1"/>
  <c r="B15" i="21"/>
  <c r="F13" i="21"/>
  <c r="F11" i="21"/>
  <c r="F10" i="21"/>
  <c r="F12" i="21" s="1"/>
  <c r="F15" i="21" s="1"/>
  <c r="J6" i="21"/>
  <c r="G22" i="20"/>
  <c r="F22" i="20"/>
  <c r="E22" i="20"/>
  <c r="D22" i="20"/>
  <c r="C22" i="20"/>
  <c r="G21" i="20"/>
  <c r="F21" i="20"/>
  <c r="E21" i="20"/>
  <c r="D21" i="20"/>
  <c r="C21" i="20"/>
  <c r="G20" i="20"/>
  <c r="F20" i="20"/>
  <c r="E20" i="20"/>
  <c r="D20" i="20"/>
  <c r="C20" i="20"/>
  <c r="G19" i="20"/>
  <c r="F19" i="20"/>
  <c r="E19" i="20"/>
  <c r="D19" i="20"/>
  <c r="C19" i="20"/>
  <c r="G18" i="20"/>
  <c r="F18" i="20"/>
  <c r="E18" i="20"/>
  <c r="D18" i="20"/>
  <c r="C18" i="20"/>
  <c r="G17" i="20"/>
  <c r="F17" i="20"/>
  <c r="E17" i="20"/>
  <c r="D17" i="20"/>
  <c r="C17" i="20"/>
  <c r="G15" i="20"/>
  <c r="F15" i="20"/>
  <c r="E15" i="20"/>
  <c r="C15" i="20"/>
  <c r="B15" i="20"/>
  <c r="D15" i="20" s="1"/>
  <c r="G9" i="20"/>
  <c r="G10" i="20" s="1"/>
  <c r="K5" i="20" s="1"/>
  <c r="K8" i="20" s="1"/>
  <c r="G6" i="20"/>
  <c r="L5" i="20"/>
  <c r="L8" i="20" s="1"/>
  <c r="G5" i="20"/>
  <c r="B16" i="20" s="1"/>
  <c r="C13" i="24" l="1"/>
  <c r="D13" i="24" s="1"/>
  <c r="R13" i="24" s="1"/>
  <c r="C27" i="47"/>
  <c r="C17" i="47"/>
  <c r="E16" i="20"/>
  <c r="G16" i="20"/>
  <c r="C16" i="20"/>
  <c r="F16" i="20"/>
  <c r="D16" i="20"/>
  <c r="K6" i="21"/>
  <c r="N4" i="21"/>
  <c r="E21" i="22"/>
  <c r="O9" i="20"/>
  <c r="F21" i="22"/>
  <c r="F19" i="22"/>
  <c r="F17" i="22"/>
  <c r="F22" i="22"/>
  <c r="F20" i="22"/>
  <c r="F18" i="22"/>
  <c r="F16" i="22"/>
  <c r="E18" i="22"/>
  <c r="J3" i="47"/>
  <c r="L3" i="47" s="1"/>
  <c r="M3" i="47" s="1"/>
  <c r="Z10" i="47"/>
  <c r="C14" i="47" s="1"/>
  <c r="J15" i="47"/>
  <c r="J362" i="47"/>
  <c r="J358" i="47"/>
  <c r="J360" i="47"/>
  <c r="J353" i="47"/>
  <c r="J349" i="47"/>
  <c r="J345" i="47"/>
  <c r="J341" i="47"/>
  <c r="J337" i="47"/>
  <c r="J333" i="47"/>
  <c r="J329" i="47"/>
  <c r="J325" i="47"/>
  <c r="J321" i="47"/>
  <c r="J317" i="47"/>
  <c r="J313" i="47"/>
  <c r="J309" i="47"/>
  <c r="J305" i="47"/>
  <c r="J301" i="47"/>
  <c r="J297" i="47"/>
  <c r="J293" i="47"/>
  <c r="J357" i="47"/>
  <c r="J354" i="47"/>
  <c r="J350" i="47"/>
  <c r="J346" i="47"/>
  <c r="J342" i="47"/>
  <c r="J338" i="47"/>
  <c r="J334" i="47"/>
  <c r="J330" i="47"/>
  <c r="J326" i="47"/>
  <c r="J322" i="47"/>
  <c r="J318" i="47"/>
  <c r="J314" i="47"/>
  <c r="J310" i="47"/>
  <c r="J306" i="47"/>
  <c r="J302" i="47"/>
  <c r="J298" i="47"/>
  <c r="J359" i="47"/>
  <c r="J355" i="47"/>
  <c r="J351" i="47"/>
  <c r="J347" i="47"/>
  <c r="J343" i="47"/>
  <c r="J339" i="47"/>
  <c r="J335" i="47"/>
  <c r="J331" i="47"/>
  <c r="J327" i="47"/>
  <c r="J323" i="47"/>
  <c r="J319" i="47"/>
  <c r="J315" i="47"/>
  <c r="J311" i="47"/>
  <c r="J307" i="47"/>
  <c r="J303" i="47"/>
  <c r="J299" i="47"/>
  <c r="J295" i="47"/>
  <c r="J344" i="47"/>
  <c r="J312" i="47"/>
  <c r="J356" i="47"/>
  <c r="J336" i="47"/>
  <c r="J304" i="47"/>
  <c r="J348" i="47"/>
  <c r="J316" i="47"/>
  <c r="J294" i="47"/>
  <c r="J289" i="47"/>
  <c r="J285" i="47"/>
  <c r="J281" i="47"/>
  <c r="J361" i="47"/>
  <c r="J328" i="47"/>
  <c r="J352" i="47"/>
  <c r="J320" i="47"/>
  <c r="J286" i="47"/>
  <c r="J283" i="47"/>
  <c r="J280" i="47"/>
  <c r="J274" i="47"/>
  <c r="J266" i="47"/>
  <c r="J258" i="47"/>
  <c r="J250" i="47"/>
  <c r="J245" i="47"/>
  <c r="J232" i="47"/>
  <c r="J229" i="47"/>
  <c r="J292" i="47"/>
  <c r="J275" i="47"/>
  <c r="J267" i="47"/>
  <c r="J276" i="47"/>
  <c r="J268" i="47"/>
  <c r="J260" i="47"/>
  <c r="J252" i="47"/>
  <c r="J244" i="47"/>
  <c r="J241" i="47"/>
  <c r="J308" i="47"/>
  <c r="J300" i="47"/>
  <c r="J296" i="47"/>
  <c r="J290" i="47"/>
  <c r="J287" i="47"/>
  <c r="J284" i="47"/>
  <c r="J277" i="47"/>
  <c r="J269" i="47"/>
  <c r="J261" i="47"/>
  <c r="J253" i="47"/>
  <c r="J234" i="47"/>
  <c r="J231" i="47"/>
  <c r="J227" i="47"/>
  <c r="J223" i="47"/>
  <c r="J219" i="47"/>
  <c r="J215" i="47"/>
  <c r="J211" i="47"/>
  <c r="J207" i="47"/>
  <c r="J340" i="47"/>
  <c r="J332" i="47"/>
  <c r="J324" i="47"/>
  <c r="J278" i="47"/>
  <c r="J270" i="47"/>
  <c r="J262" i="47"/>
  <c r="J254" i="47"/>
  <c r="J240" i="47"/>
  <c r="J237" i="47"/>
  <c r="J282" i="47"/>
  <c r="J291" i="47"/>
  <c r="J288" i="47"/>
  <c r="J272" i="47"/>
  <c r="J264" i="47"/>
  <c r="J256" i="47"/>
  <c r="J248" i="47"/>
  <c r="J236" i="47"/>
  <c r="J233" i="47"/>
  <c r="J230" i="47"/>
  <c r="J216" i="47"/>
  <c r="J213" i="47"/>
  <c r="J210" i="47"/>
  <c r="J200" i="47"/>
  <c r="J192" i="47"/>
  <c r="J184" i="47"/>
  <c r="J273" i="47"/>
  <c r="J255" i="47"/>
  <c r="J249" i="47"/>
  <c r="J246" i="47"/>
  <c r="J242" i="47"/>
  <c r="J238" i="47"/>
  <c r="J228" i="47"/>
  <c r="J225" i="47"/>
  <c r="J222" i="47"/>
  <c r="J201" i="47"/>
  <c r="J193" i="47"/>
  <c r="J185" i="47"/>
  <c r="J176" i="47"/>
  <c r="J173" i="47"/>
  <c r="J169" i="47"/>
  <c r="J165" i="47"/>
  <c r="J161" i="47"/>
  <c r="J157" i="47"/>
  <c r="J153" i="47"/>
  <c r="J149" i="47"/>
  <c r="J145" i="47"/>
  <c r="J208" i="47"/>
  <c r="J202" i="47"/>
  <c r="J194" i="47"/>
  <c r="J186" i="47"/>
  <c r="J220" i="47"/>
  <c r="J217" i="47"/>
  <c r="J214" i="47"/>
  <c r="J203" i="47"/>
  <c r="J195" i="47"/>
  <c r="J187" i="47"/>
  <c r="J179" i="47"/>
  <c r="J174" i="47"/>
  <c r="J170" i="47"/>
  <c r="J166" i="47"/>
  <c r="J162" i="47"/>
  <c r="J158" i="47"/>
  <c r="J154" i="47"/>
  <c r="J150" i="47"/>
  <c r="J146" i="47"/>
  <c r="J142" i="47"/>
  <c r="J138" i="47"/>
  <c r="J134" i="47"/>
  <c r="J130" i="47"/>
  <c r="J126" i="47"/>
  <c r="J122" i="47"/>
  <c r="J118" i="47"/>
  <c r="J271" i="47"/>
  <c r="J263" i="47"/>
  <c r="J257" i="47"/>
  <c r="J251" i="47"/>
  <c r="J226" i="47"/>
  <c r="J204" i="47"/>
  <c r="J196" i="47"/>
  <c r="J188" i="47"/>
  <c r="J180" i="47"/>
  <c r="J178" i="47"/>
  <c r="J243" i="47"/>
  <c r="J239" i="47"/>
  <c r="J235" i="47"/>
  <c r="J212" i="47"/>
  <c r="J209" i="47"/>
  <c r="J205" i="47"/>
  <c r="J197" i="47"/>
  <c r="J189" i="47"/>
  <c r="J181" i="47"/>
  <c r="J175" i="47"/>
  <c r="J171" i="47"/>
  <c r="J167" i="47"/>
  <c r="J163" i="47"/>
  <c r="J159" i="47"/>
  <c r="J155" i="47"/>
  <c r="J151" i="47"/>
  <c r="J147" i="47"/>
  <c r="J279" i="47"/>
  <c r="J247" i="47"/>
  <c r="J224" i="47"/>
  <c r="J221" i="47"/>
  <c r="J218" i="47"/>
  <c r="J206" i="47"/>
  <c r="J198" i="47"/>
  <c r="J190" i="47"/>
  <c r="J182" i="47"/>
  <c r="J160" i="47"/>
  <c r="J139" i="47"/>
  <c r="J136" i="47"/>
  <c r="J133" i="47"/>
  <c r="J109" i="47"/>
  <c r="J101" i="47"/>
  <c r="J89" i="47"/>
  <c r="J85" i="47"/>
  <c r="J81" i="47"/>
  <c r="J77" i="47"/>
  <c r="J73" i="47"/>
  <c r="J69" i="47"/>
  <c r="J65" i="47"/>
  <c r="J61" i="47"/>
  <c r="J57" i="47"/>
  <c r="J53" i="47"/>
  <c r="J49" i="47"/>
  <c r="J45" i="47"/>
  <c r="J41" i="47"/>
  <c r="J33" i="47"/>
  <c r="J25" i="47"/>
  <c r="J20" i="47"/>
  <c r="J13" i="47"/>
  <c r="J12" i="47"/>
  <c r="J9" i="47"/>
  <c r="J164" i="47"/>
  <c r="J119" i="47"/>
  <c r="J116" i="47"/>
  <c r="J110" i="47"/>
  <c r="J102" i="47"/>
  <c r="J94" i="47"/>
  <c r="J93" i="47"/>
  <c r="J34" i="47"/>
  <c r="J27" i="47"/>
  <c r="J26" i="47"/>
  <c r="J21" i="47"/>
  <c r="J168" i="47"/>
  <c r="J131" i="47"/>
  <c r="J128" i="47"/>
  <c r="J125" i="47"/>
  <c r="J111" i="47"/>
  <c r="J103" i="47"/>
  <c r="J95" i="47"/>
  <c r="J90" i="47"/>
  <c r="J86" i="47"/>
  <c r="J82" i="47"/>
  <c r="J78" i="47"/>
  <c r="J74" i="47"/>
  <c r="J70" i="47"/>
  <c r="J66" i="47"/>
  <c r="J62" i="47"/>
  <c r="J58" i="47"/>
  <c r="J54" i="47"/>
  <c r="J50" i="47"/>
  <c r="J46" i="47"/>
  <c r="J42" i="47"/>
  <c r="J35" i="47"/>
  <c r="C34" i="47"/>
  <c r="J28" i="47"/>
  <c r="J265" i="47"/>
  <c r="J177" i="47"/>
  <c r="J172" i="47"/>
  <c r="J140" i="47"/>
  <c r="J137" i="47"/>
  <c r="J112" i="47"/>
  <c r="J104" i="47"/>
  <c r="J96" i="47"/>
  <c r="J36" i="47"/>
  <c r="J30" i="47"/>
  <c r="J29" i="47"/>
  <c r="J22" i="47"/>
  <c r="J144" i="47"/>
  <c r="J123" i="47"/>
  <c r="J120" i="47"/>
  <c r="J117" i="47"/>
  <c r="J113" i="47"/>
  <c r="J105" i="47"/>
  <c r="J97" i="47"/>
  <c r="J91" i="47"/>
  <c r="J87" i="47"/>
  <c r="J83" i="47"/>
  <c r="J79" i="47"/>
  <c r="J75" i="47"/>
  <c r="J71" i="47"/>
  <c r="J67" i="47"/>
  <c r="J63" i="47"/>
  <c r="J59" i="47"/>
  <c r="J55" i="47"/>
  <c r="J51" i="47"/>
  <c r="J47" i="47"/>
  <c r="J43" i="47"/>
  <c r="J37" i="47"/>
  <c r="J31" i="47"/>
  <c r="J259" i="47"/>
  <c r="J183" i="47"/>
  <c r="J148" i="47"/>
  <c r="J135" i="47"/>
  <c r="J132" i="47"/>
  <c r="J129" i="47"/>
  <c r="J114" i="47"/>
  <c r="J106" i="47"/>
  <c r="J98" i="47"/>
  <c r="J39" i="47"/>
  <c r="J38" i="47"/>
  <c r="J191" i="47"/>
  <c r="J152" i="47"/>
  <c r="J143" i="47"/>
  <c r="J141" i="47"/>
  <c r="J115" i="47"/>
  <c r="J107" i="47"/>
  <c r="J99" i="47"/>
  <c r="J92" i="47"/>
  <c r="J88" i="47"/>
  <c r="J84" i="47"/>
  <c r="J80" i="47"/>
  <c r="J76" i="47"/>
  <c r="J72" i="47"/>
  <c r="J68" i="47"/>
  <c r="J64" i="47"/>
  <c r="J60" i="47"/>
  <c r="J56" i="47"/>
  <c r="J52" i="47"/>
  <c r="J48" i="47"/>
  <c r="J44" i="47"/>
  <c r="J40" i="47"/>
  <c r="J32" i="47"/>
  <c r="J18" i="47"/>
  <c r="J17" i="47"/>
  <c r="J6" i="47"/>
  <c r="J14" i="47"/>
  <c r="J24" i="47"/>
  <c r="H7" i="30"/>
  <c r="G7" i="30"/>
  <c r="J7" i="47"/>
  <c r="B14" i="20"/>
  <c r="E19" i="22"/>
  <c r="E22" i="22"/>
  <c r="J4" i="47"/>
  <c r="J8" i="47"/>
  <c r="J108" i="47"/>
  <c r="B14" i="22"/>
  <c r="O5" i="22"/>
  <c r="E15" i="22"/>
  <c r="E16" i="22"/>
  <c r="J100" i="47"/>
  <c r="J16" i="47"/>
  <c r="J121" i="47"/>
  <c r="J199" i="47"/>
  <c r="E17" i="22"/>
  <c r="J5" i="47"/>
  <c r="J156" i="47"/>
  <c r="J10" i="47"/>
  <c r="D21" i="22"/>
  <c r="D19" i="22"/>
  <c r="D17" i="22"/>
  <c r="F15" i="22"/>
  <c r="C18" i="22"/>
  <c r="C21" i="22"/>
  <c r="J11" i="47"/>
  <c r="J23" i="47"/>
  <c r="J124" i="47"/>
  <c r="Z3" i="47"/>
  <c r="Z5" i="47" s="1"/>
  <c r="C21" i="23"/>
  <c r="E21" i="23" s="1"/>
  <c r="F21" i="23" s="1"/>
  <c r="C22" i="23" s="1"/>
  <c r="E22" i="23" s="1"/>
  <c r="F22" i="23" s="1"/>
  <c r="C23" i="23" s="1"/>
  <c r="E23" i="23" s="1"/>
  <c r="F23" i="23" s="1"/>
  <c r="C24" i="23" s="1"/>
  <c r="E24" i="23" s="1"/>
  <c r="F24" i="23" s="1"/>
  <c r="C25" i="23" s="1"/>
  <c r="E25" i="23" s="1"/>
  <c r="F25" i="23" s="1"/>
  <c r="C26" i="23" s="1"/>
  <c r="E26" i="23" s="1"/>
  <c r="F26" i="23" s="1"/>
  <c r="C27" i="23" s="1"/>
  <c r="E27" i="23" s="1"/>
  <c r="F27" i="23" s="1"/>
  <c r="C28" i="23" s="1"/>
  <c r="E28" i="23" s="1"/>
  <c r="F28" i="23" s="1"/>
  <c r="C29" i="23" s="1"/>
  <c r="E29" i="23" s="1"/>
  <c r="F29" i="23" s="1"/>
  <c r="C30" i="23" s="1"/>
  <c r="E30" i="23" s="1"/>
  <c r="F30" i="23" s="1"/>
  <c r="C31" i="23" s="1"/>
  <c r="E31" i="23" s="1"/>
  <c r="F31" i="23" s="1"/>
  <c r="C32" i="23" s="1"/>
  <c r="E32" i="23" s="1"/>
  <c r="F32" i="23" s="1"/>
  <c r="C33" i="23" s="1"/>
  <c r="E33" i="23" s="1"/>
  <c r="F33" i="23" s="1"/>
  <c r="C34" i="23" s="1"/>
  <c r="E34" i="23" s="1"/>
  <c r="F34" i="23" s="1"/>
  <c r="C35" i="23" s="1"/>
  <c r="E35" i="23" s="1"/>
  <c r="F35" i="23" s="1"/>
  <c r="C36" i="23" s="1"/>
  <c r="E36" i="23" s="1"/>
  <c r="F36" i="23" s="1"/>
  <c r="C37" i="23" s="1"/>
  <c r="E37" i="23" s="1"/>
  <c r="F37" i="23" s="1"/>
  <c r="C38" i="23" s="1"/>
  <c r="E38" i="23" s="1"/>
  <c r="F38" i="23" s="1"/>
  <c r="C39" i="23" s="1"/>
  <c r="E39" i="23" s="1"/>
  <c r="F39" i="23" s="1"/>
  <c r="C40" i="23" s="1"/>
  <c r="E40" i="23" s="1"/>
  <c r="F40" i="23" s="1"/>
  <c r="C41" i="23" s="1"/>
  <c r="E41" i="23" s="1"/>
  <c r="F41" i="23" s="1"/>
  <c r="C42" i="23" s="1"/>
  <c r="E42" i="23" s="1"/>
  <c r="F42" i="23" s="1"/>
  <c r="C43" i="23" s="1"/>
  <c r="E43" i="23" s="1"/>
  <c r="F43" i="23" s="1"/>
  <c r="C44" i="23" s="1"/>
  <c r="E44" i="23" s="1"/>
  <c r="F44" i="23" s="1"/>
  <c r="C45" i="23" s="1"/>
  <c r="E45" i="23" s="1"/>
  <c r="F45" i="23" s="1"/>
  <c r="C46" i="23" s="1"/>
  <c r="E46" i="23" s="1"/>
  <c r="F46" i="23" s="1"/>
  <c r="C47" i="23" s="1"/>
  <c r="E47" i="23" s="1"/>
  <c r="F47" i="23" s="1"/>
  <c r="C48" i="23" s="1"/>
  <c r="E48" i="23" s="1"/>
  <c r="F48" i="23" s="1"/>
  <c r="C49" i="23" s="1"/>
  <c r="E49" i="23" s="1"/>
  <c r="F49" i="23" s="1"/>
  <c r="C50" i="23" s="1"/>
  <c r="E50" i="23" s="1"/>
  <c r="F50" i="23" s="1"/>
  <c r="C51" i="23" s="1"/>
  <c r="E51" i="23" s="1"/>
  <c r="F51" i="23" s="1"/>
  <c r="C52" i="23" s="1"/>
  <c r="E52" i="23" s="1"/>
  <c r="F52" i="23" s="1"/>
  <c r="C53" i="23" s="1"/>
  <c r="E53" i="23" s="1"/>
  <c r="F53" i="23" s="1"/>
  <c r="C54" i="23" s="1"/>
  <c r="E54" i="23" s="1"/>
  <c r="F54" i="23" s="1"/>
  <c r="C55" i="23" s="1"/>
  <c r="E55" i="23" s="1"/>
  <c r="F55" i="23" s="1"/>
  <c r="C56" i="23" s="1"/>
  <c r="E56" i="23" s="1"/>
  <c r="F56" i="23" s="1"/>
  <c r="C57" i="23" s="1"/>
  <c r="E57" i="23" s="1"/>
  <c r="F57" i="23" s="1"/>
  <c r="C58" i="23" s="1"/>
  <c r="E58" i="23" s="1"/>
  <c r="F58" i="23" s="1"/>
  <c r="C59" i="23" s="1"/>
  <c r="E59" i="23" s="1"/>
  <c r="F59" i="23" s="1"/>
  <c r="C60" i="23" s="1"/>
  <c r="E60" i="23" s="1"/>
  <c r="F60" i="23" s="1"/>
  <c r="C61" i="23" s="1"/>
  <c r="E61" i="23" s="1"/>
  <c r="F61" i="23" s="1"/>
  <c r="C62" i="23" s="1"/>
  <c r="E62" i="23" s="1"/>
  <c r="F62" i="23" s="1"/>
  <c r="C63" i="23" s="1"/>
  <c r="E63" i="23" s="1"/>
  <c r="F63" i="23" s="1"/>
  <c r="C64" i="23" s="1"/>
  <c r="E64" i="23" s="1"/>
  <c r="F64" i="23" s="1"/>
  <c r="C65" i="23" s="1"/>
  <c r="E65" i="23" s="1"/>
  <c r="F65" i="23" s="1"/>
  <c r="C66" i="23" s="1"/>
  <c r="E66" i="23" s="1"/>
  <c r="F66" i="23" s="1"/>
  <c r="C67" i="23" s="1"/>
  <c r="E67" i="23" s="1"/>
  <c r="F67" i="23" s="1"/>
  <c r="C68" i="23" s="1"/>
  <c r="E68" i="23" s="1"/>
  <c r="F68" i="23" s="1"/>
  <c r="C69" i="23" s="1"/>
  <c r="E69" i="23" s="1"/>
  <c r="F69" i="23" s="1"/>
  <c r="H12" i="46"/>
  <c r="G12" i="46"/>
  <c r="K12" i="46"/>
  <c r="C13" i="46" s="1"/>
  <c r="F13" i="46" s="1"/>
  <c r="L13" i="46"/>
  <c r="K13" i="46"/>
  <c r="C14" i="46" s="1"/>
  <c r="F14" i="46" s="1"/>
  <c r="C16" i="25"/>
  <c r="C15" i="25"/>
  <c r="G10" i="25"/>
  <c r="G11" i="25" s="1"/>
  <c r="D14" i="46"/>
  <c r="E13" i="46"/>
  <c r="B15" i="24"/>
  <c r="H3" i="30"/>
  <c r="G3" i="30"/>
  <c r="K3" i="26"/>
  <c r="M3" i="26"/>
  <c r="F14" i="24"/>
  <c r="J299" i="26"/>
  <c r="J292" i="26"/>
  <c r="J283" i="26"/>
  <c r="J276" i="26"/>
  <c r="J267" i="26"/>
  <c r="J260" i="26"/>
  <c r="J251" i="26"/>
  <c r="J244" i="26"/>
  <c r="J235" i="26"/>
  <c r="J228" i="26"/>
  <c r="J219" i="26"/>
  <c r="J212" i="26"/>
  <c r="J203" i="26"/>
  <c r="J196" i="26"/>
  <c r="J187" i="26"/>
  <c r="J180" i="26"/>
  <c r="J171" i="26"/>
  <c r="J164" i="26"/>
  <c r="J155" i="26"/>
  <c r="J148" i="26"/>
  <c r="J139" i="26"/>
  <c r="J137" i="26"/>
  <c r="J135" i="26"/>
  <c r="J133" i="26"/>
  <c r="J131" i="26"/>
  <c r="J129" i="26"/>
  <c r="J127" i="26"/>
  <c r="J125" i="26"/>
  <c r="J123" i="26"/>
  <c r="J121" i="26"/>
  <c r="J119" i="26"/>
  <c r="J117" i="26"/>
  <c r="J115" i="26"/>
  <c r="J113" i="26"/>
  <c r="J111" i="26"/>
  <c r="J109" i="26"/>
  <c r="J107" i="26"/>
  <c r="J105" i="26"/>
  <c r="J103" i="26"/>
  <c r="J101" i="26"/>
  <c r="J99" i="26"/>
  <c r="J97" i="26"/>
  <c r="J95" i="26"/>
  <c r="J93" i="26"/>
  <c r="J91" i="26"/>
  <c r="J89" i="26"/>
  <c r="J87" i="26"/>
  <c r="J85" i="26"/>
  <c r="J83" i="26"/>
  <c r="J81" i="26"/>
  <c r="J79" i="26"/>
  <c r="J77" i="26"/>
  <c r="J75" i="26"/>
  <c r="J73" i="26"/>
  <c r="J71" i="26"/>
  <c r="J69" i="26"/>
  <c r="J67" i="26"/>
  <c r="J65" i="26"/>
  <c r="J63" i="26"/>
  <c r="J61" i="26"/>
  <c r="J59" i="26"/>
  <c r="J57" i="26"/>
  <c r="J55" i="26"/>
  <c r="J53" i="26"/>
  <c r="J51" i="26"/>
  <c r="J49" i="26"/>
  <c r="J47" i="26"/>
  <c r="J45" i="26"/>
  <c r="J43" i="26"/>
  <c r="J41" i="26"/>
  <c r="J39" i="26"/>
  <c r="J37" i="26"/>
  <c r="J35" i="26"/>
  <c r="J33" i="26"/>
  <c r="J31" i="26"/>
  <c r="J29" i="26"/>
  <c r="J27" i="26"/>
  <c r="J25" i="26"/>
  <c r="J23" i="26"/>
  <c r="J21" i="26"/>
  <c r="J19" i="26"/>
  <c r="J6" i="26"/>
  <c r="J301" i="26"/>
  <c r="J294" i="26"/>
  <c r="J285" i="26"/>
  <c r="J278" i="26"/>
  <c r="J269" i="26"/>
  <c r="J262" i="26"/>
  <c r="J253" i="26"/>
  <c r="J246" i="26"/>
  <c r="J237" i="26"/>
  <c r="J230" i="26"/>
  <c r="J221" i="26"/>
  <c r="J214" i="26"/>
  <c r="J205" i="26"/>
  <c r="J198" i="26"/>
  <c r="J189" i="26"/>
  <c r="J182" i="26"/>
  <c r="J173" i="26"/>
  <c r="J166" i="26"/>
  <c r="J157" i="26"/>
  <c r="J150" i="26"/>
  <c r="J141" i="26"/>
  <c r="J302" i="26"/>
  <c r="J293" i="26"/>
  <c r="J286" i="26"/>
  <c r="J277" i="26"/>
  <c r="J270" i="26"/>
  <c r="J261" i="26"/>
  <c r="J254" i="26"/>
  <c r="J245" i="26"/>
  <c r="J238" i="26"/>
  <c r="J229" i="26"/>
  <c r="J222" i="26"/>
  <c r="J213" i="26"/>
  <c r="J206" i="26"/>
  <c r="J197" i="26"/>
  <c r="J190" i="26"/>
  <c r="J181" i="26"/>
  <c r="J174" i="26"/>
  <c r="J165" i="26"/>
  <c r="J158" i="26"/>
  <c r="J149" i="26"/>
  <c r="J142" i="26"/>
  <c r="J15" i="26"/>
  <c r="J5" i="26"/>
  <c r="J9" i="26"/>
  <c r="J138" i="26"/>
  <c r="J145" i="26"/>
  <c r="J152" i="26"/>
  <c r="J156" i="26"/>
  <c r="J167" i="26"/>
  <c r="J178" i="26"/>
  <c r="J207" i="26"/>
  <c r="J211" i="26"/>
  <c r="J218" i="26"/>
  <c r="J233" i="26"/>
  <c r="J240" i="26"/>
  <c r="J273" i="26"/>
  <c r="J280" i="26"/>
  <c r="J284" i="26"/>
  <c r="J295" i="26"/>
  <c r="J7" i="26"/>
  <c r="C12" i="26"/>
  <c r="C14" i="26" s="1"/>
  <c r="J20" i="26"/>
  <c r="J28" i="26"/>
  <c r="J36" i="26"/>
  <c r="J44" i="26"/>
  <c r="J52" i="26"/>
  <c r="J60" i="26"/>
  <c r="J68" i="26"/>
  <c r="J76" i="26"/>
  <c r="J84" i="26"/>
  <c r="J92" i="26"/>
  <c r="J100" i="26"/>
  <c r="J108" i="26"/>
  <c r="J116" i="26"/>
  <c r="J124" i="26"/>
  <c r="J132" i="26"/>
  <c r="J153" i="26"/>
  <c r="J160" i="26"/>
  <c r="J193" i="26"/>
  <c r="J200" i="26"/>
  <c r="J204" i="26"/>
  <c r="J215" i="26"/>
  <c r="J226" i="26"/>
  <c r="J255" i="26"/>
  <c r="J259" i="26"/>
  <c r="J266" i="26"/>
  <c r="J281" i="26"/>
  <c r="J288" i="26"/>
  <c r="J208" i="26"/>
  <c r="J241" i="26"/>
  <c r="J248" i="26"/>
  <c r="J252" i="26"/>
  <c r="J263" i="26"/>
  <c r="J274" i="26"/>
  <c r="J3" i="26"/>
  <c r="L3" i="26" s="1"/>
  <c r="J10" i="26"/>
  <c r="J14" i="26"/>
  <c r="J16" i="26"/>
  <c r="J18" i="26"/>
  <c r="J26" i="26"/>
  <c r="J34" i="26"/>
  <c r="J42" i="26"/>
  <c r="J50" i="26"/>
  <c r="J58" i="26"/>
  <c r="J66" i="26"/>
  <c r="J74" i="26"/>
  <c r="J82" i="26"/>
  <c r="J90" i="26"/>
  <c r="J98" i="26"/>
  <c r="J106" i="26"/>
  <c r="J114" i="26"/>
  <c r="J122" i="26"/>
  <c r="J130" i="26"/>
  <c r="J136" i="26"/>
  <c r="J161" i="26"/>
  <c r="J168" i="26"/>
  <c r="J172" i="26"/>
  <c r="J183" i="26"/>
  <c r="J194" i="26"/>
  <c r="J223" i="26"/>
  <c r="J227" i="26"/>
  <c r="J234" i="26"/>
  <c r="J249" i="26"/>
  <c r="J256" i="26"/>
  <c r="J289" i="26"/>
  <c r="J296" i="26"/>
  <c r="J300" i="26"/>
  <c r="G5" i="33"/>
  <c r="F5" i="33"/>
  <c r="G6" i="30"/>
  <c r="H6" i="30"/>
  <c r="J8" i="26"/>
  <c r="J24" i="26"/>
  <c r="J32" i="26"/>
  <c r="J40" i="26"/>
  <c r="J48" i="26"/>
  <c r="J56" i="26"/>
  <c r="J64" i="26"/>
  <c r="J72" i="26"/>
  <c r="J80" i="26"/>
  <c r="J88" i="26"/>
  <c r="J96" i="26"/>
  <c r="J104" i="26"/>
  <c r="J112" i="26"/>
  <c r="J120" i="26"/>
  <c r="J128" i="26"/>
  <c r="J140" i="26"/>
  <c r="J151" i="26"/>
  <c r="J162" i="26"/>
  <c r="J191" i="26"/>
  <c r="J195" i="26"/>
  <c r="J202" i="26"/>
  <c r="J217" i="26"/>
  <c r="J224" i="26"/>
  <c r="J257" i="26"/>
  <c r="J264" i="26"/>
  <c r="J268" i="26"/>
  <c r="J279" i="26"/>
  <c r="J290" i="26"/>
  <c r="O22" i="29"/>
  <c r="N22" i="29" s="1"/>
  <c r="O19" i="29"/>
  <c r="N19" i="29" s="1"/>
  <c r="O21" i="29"/>
  <c r="N21" i="29" s="1"/>
  <c r="O20" i="29"/>
  <c r="N20" i="29" s="1"/>
  <c r="G19" i="30"/>
  <c r="E19" i="30"/>
  <c r="N23" i="29"/>
  <c r="C23" i="30"/>
  <c r="I23" i="30" s="1"/>
  <c r="H13" i="30"/>
  <c r="G13" i="30"/>
  <c r="G8" i="30"/>
  <c r="Q25" i="41"/>
  <c r="O17" i="29"/>
  <c r="N17" i="29" s="1"/>
  <c r="C6" i="41"/>
  <c r="C7" i="41" s="1"/>
  <c r="L4" i="41"/>
  <c r="D7" i="41"/>
  <c r="Q67" i="41"/>
  <c r="Q56" i="41"/>
  <c r="Q68" i="41"/>
  <c r="Q57" i="41"/>
  <c r="Q69" i="41"/>
  <c r="Q58" i="41"/>
  <c r="Q71" i="41"/>
  <c r="Q63" i="41"/>
  <c r="Q60" i="41"/>
  <c r="Q72" i="41"/>
  <c r="Q64" i="41"/>
  <c r="Q70" i="41"/>
  <c r="Q50" i="41"/>
  <c r="Q39" i="41"/>
  <c r="Q28" i="41"/>
  <c r="Q51" i="41"/>
  <c r="Q40" i="41"/>
  <c r="Q29" i="41"/>
  <c r="Q74" i="41"/>
  <c r="Q52" i="41"/>
  <c r="Q41" i="41"/>
  <c r="Q30" i="41"/>
  <c r="Q65" i="41"/>
  <c r="Q54" i="41"/>
  <c r="Q43" i="41"/>
  <c r="Q35" i="41"/>
  <c r="Q32" i="41"/>
  <c r="Q24" i="41"/>
  <c r="Q55" i="41"/>
  <c r="Q44" i="41"/>
  <c r="Q36" i="41"/>
  <c r="Q37" i="41"/>
  <c r="Q16" i="41"/>
  <c r="Q12" i="41"/>
  <c r="Q8" i="41"/>
  <c r="Q31" i="41"/>
  <c r="Q17" i="41"/>
  <c r="Q13" i="41"/>
  <c r="Q9" i="41"/>
  <c r="Q45" i="41"/>
  <c r="Q38" i="41"/>
  <c r="Q66" i="41"/>
  <c r="Q42" i="41"/>
  <c r="Q21" i="41"/>
  <c r="Q18" i="41"/>
  <c r="Q14" i="41"/>
  <c r="Q10" i="41"/>
  <c r="Q73" i="41"/>
  <c r="Q49" i="41"/>
  <c r="Q27" i="41"/>
  <c r="Q22" i="41"/>
  <c r="Q53" i="41"/>
  <c r="Q46" i="41"/>
  <c r="Q26" i="41"/>
  <c r="Q23" i="41"/>
  <c r="Q15" i="41"/>
  <c r="Q11" i="41"/>
  <c r="Q7" i="41"/>
  <c r="F13" i="50"/>
  <c r="F10" i="50"/>
  <c r="G35" i="41"/>
  <c r="N28" i="43"/>
  <c r="O28" i="43" s="1"/>
  <c r="N56" i="43"/>
  <c r="O56" i="43" s="1"/>
  <c r="G23" i="41"/>
  <c r="G38" i="41"/>
  <c r="I55" i="41"/>
  <c r="D10" i="43"/>
  <c r="G21" i="41"/>
  <c r="G26" i="41"/>
  <c r="I69" i="41"/>
  <c r="I58" i="41"/>
  <c r="I70" i="41"/>
  <c r="I59" i="41"/>
  <c r="I71" i="41"/>
  <c r="I63" i="41"/>
  <c r="I60" i="41"/>
  <c r="I73" i="41"/>
  <c r="I65" i="41"/>
  <c r="I74" i="41"/>
  <c r="I66" i="41"/>
  <c r="I52" i="41"/>
  <c r="G40" i="41"/>
  <c r="G29" i="41"/>
  <c r="I53" i="41"/>
  <c r="G41" i="41"/>
  <c r="G30" i="41"/>
  <c r="I54" i="41"/>
  <c r="G42" i="41"/>
  <c r="G31" i="41"/>
  <c r="I64" i="41"/>
  <c r="I57" i="41"/>
  <c r="I56" i="41"/>
  <c r="G44" i="41"/>
  <c r="G36" i="41"/>
  <c r="G25" i="41"/>
  <c r="I49" i="41"/>
  <c r="G45" i="41"/>
  <c r="G37" i="41"/>
  <c r="G27" i="41"/>
  <c r="G28" i="41"/>
  <c r="G43" i="41"/>
  <c r="I50" i="41"/>
  <c r="N74" i="43"/>
  <c r="O74" i="43" s="1"/>
  <c r="N73" i="43"/>
  <c r="O73" i="43" s="1"/>
  <c r="P67" i="43"/>
  <c r="N65" i="43"/>
  <c r="O65" i="43" s="1"/>
  <c r="P57" i="43"/>
  <c r="N55" i="43"/>
  <c r="O55" i="43" s="1"/>
  <c r="P49" i="43"/>
  <c r="N45" i="43"/>
  <c r="O45" i="43" s="1"/>
  <c r="P39" i="43"/>
  <c r="N37" i="43"/>
  <c r="O37" i="43" s="1"/>
  <c r="P29" i="43"/>
  <c r="N27" i="43"/>
  <c r="O27" i="43" s="1"/>
  <c r="P72" i="43"/>
  <c r="N70" i="43"/>
  <c r="O70" i="43" s="1"/>
  <c r="P64" i="43"/>
  <c r="N60" i="43"/>
  <c r="O60" i="43" s="1"/>
  <c r="P54" i="43"/>
  <c r="N52" i="43"/>
  <c r="O52" i="43" s="1"/>
  <c r="P44" i="43"/>
  <c r="N42" i="43"/>
  <c r="O42" i="43" s="1"/>
  <c r="P36" i="43"/>
  <c r="N32" i="43"/>
  <c r="O32" i="43" s="1"/>
  <c r="P26" i="43"/>
  <c r="P69" i="43"/>
  <c r="N67" i="43"/>
  <c r="O67" i="43" s="1"/>
  <c r="P59" i="43"/>
  <c r="N57" i="43"/>
  <c r="O57" i="43" s="1"/>
  <c r="P51" i="43"/>
  <c r="N49" i="43"/>
  <c r="P41" i="43"/>
  <c r="N39" i="43"/>
  <c r="O39" i="43" s="1"/>
  <c r="P31" i="43"/>
  <c r="N72" i="43"/>
  <c r="O72" i="43" s="1"/>
  <c r="P66" i="43"/>
  <c r="N64" i="43"/>
  <c r="O64" i="43" s="1"/>
  <c r="P56" i="43"/>
  <c r="N54" i="43"/>
  <c r="O54" i="43" s="1"/>
  <c r="P46" i="43"/>
  <c r="N44" i="43"/>
  <c r="O44" i="43" s="1"/>
  <c r="P38" i="43"/>
  <c r="N36" i="43"/>
  <c r="O36" i="43" s="1"/>
  <c r="P28" i="43"/>
  <c r="N26" i="43"/>
  <c r="O26" i="43" s="1"/>
  <c r="P71" i="43"/>
  <c r="N69" i="43"/>
  <c r="O69" i="43" s="1"/>
  <c r="P63" i="43"/>
  <c r="N59" i="43"/>
  <c r="O59" i="43" s="1"/>
  <c r="P53" i="43"/>
  <c r="N51" i="43"/>
  <c r="O51" i="43" s="1"/>
  <c r="P74" i="43"/>
  <c r="K16" i="44" s="1"/>
  <c r="P68" i="43"/>
  <c r="N66" i="43"/>
  <c r="O66" i="43" s="1"/>
  <c r="P73" i="43"/>
  <c r="N71" i="43"/>
  <c r="O71" i="43" s="1"/>
  <c r="P65" i="43"/>
  <c r="N63" i="43"/>
  <c r="P55" i="43"/>
  <c r="N53" i="43"/>
  <c r="O53" i="43" s="1"/>
  <c r="P45" i="43"/>
  <c r="N43" i="43"/>
  <c r="O43" i="43" s="1"/>
  <c r="P37" i="43"/>
  <c r="N35" i="43"/>
  <c r="P27" i="43"/>
  <c r="N25" i="43"/>
  <c r="O25" i="43" s="1"/>
  <c r="P60" i="43"/>
  <c r="P43" i="43"/>
  <c r="N29" i="43"/>
  <c r="O29" i="43" s="1"/>
  <c r="P24" i="43"/>
  <c r="N22" i="43"/>
  <c r="O22" i="43" s="1"/>
  <c r="N17" i="43"/>
  <c r="O17" i="43" s="1"/>
  <c r="P16" i="43"/>
  <c r="N13" i="43"/>
  <c r="O13" i="43" s="1"/>
  <c r="P12" i="43"/>
  <c r="N9" i="43"/>
  <c r="O9" i="43" s="1"/>
  <c r="P8" i="43"/>
  <c r="P70" i="43"/>
  <c r="N41" i="43"/>
  <c r="O41" i="43" s="1"/>
  <c r="P35" i="43"/>
  <c r="P32" i="43"/>
  <c r="P21" i="43"/>
  <c r="P30" i="43"/>
  <c r="N24" i="43"/>
  <c r="O24" i="43" s="1"/>
  <c r="N16" i="43"/>
  <c r="O16" i="43" s="1"/>
  <c r="P15" i="43"/>
  <c r="N12" i="43"/>
  <c r="O12" i="43" s="1"/>
  <c r="P11" i="43"/>
  <c r="N8" i="43"/>
  <c r="O8" i="43" s="1"/>
  <c r="P7" i="43"/>
  <c r="N68" i="43"/>
  <c r="O68" i="43" s="1"/>
  <c r="N50" i="43"/>
  <c r="O50" i="43" s="1"/>
  <c r="P18" i="43"/>
  <c r="N15" i="43"/>
  <c r="O15" i="43" s="1"/>
  <c r="P14" i="43"/>
  <c r="N11" i="43"/>
  <c r="O11" i="43" s="1"/>
  <c r="P10" i="43"/>
  <c r="N7" i="43"/>
  <c r="F6" i="43"/>
  <c r="P58" i="43"/>
  <c r="N46" i="43"/>
  <c r="O46" i="43" s="1"/>
  <c r="P42" i="43"/>
  <c r="P40" i="43"/>
  <c r="N31" i="43"/>
  <c r="O31" i="43" s="1"/>
  <c r="N23" i="43"/>
  <c r="O23" i="43" s="1"/>
  <c r="C6" i="43"/>
  <c r="C7" i="43" s="1"/>
  <c r="P22" i="43"/>
  <c r="P17" i="43"/>
  <c r="N38" i="43"/>
  <c r="O38" i="43" s="1"/>
  <c r="P50" i="43"/>
  <c r="N58" i="43"/>
  <c r="O58" i="43" s="1"/>
  <c r="P9" i="43"/>
  <c r="N21" i="43"/>
  <c r="P25" i="43"/>
  <c r="P52" i="43"/>
  <c r="N18" i="43"/>
  <c r="O18" i="43" s="1"/>
  <c r="P23" i="43"/>
  <c r="N40" i="43"/>
  <c r="O40" i="43" s="1"/>
  <c r="N14" i="43"/>
  <c r="O14" i="43" s="1"/>
  <c r="G27" i="43"/>
  <c r="G22" i="43"/>
  <c r="I59" i="43"/>
  <c r="I74" i="43"/>
  <c r="I66" i="43"/>
  <c r="I56" i="43"/>
  <c r="G41" i="43"/>
  <c r="G31" i="43"/>
  <c r="I71" i="43"/>
  <c r="I63" i="43"/>
  <c r="I53" i="43"/>
  <c r="G46" i="43"/>
  <c r="G38" i="43"/>
  <c r="G28" i="43"/>
  <c r="I68" i="43"/>
  <c r="I58" i="43"/>
  <c r="I50" i="43"/>
  <c r="G43" i="43"/>
  <c r="G35" i="43"/>
  <c r="I73" i="43"/>
  <c r="I65" i="43"/>
  <c r="I55" i="43"/>
  <c r="G40" i="43"/>
  <c r="G30" i="43"/>
  <c r="I70" i="43"/>
  <c r="I60" i="43"/>
  <c r="I52" i="43"/>
  <c r="I67" i="43"/>
  <c r="I72" i="43"/>
  <c r="I64" i="43"/>
  <c r="I54" i="43"/>
  <c r="G39" i="43"/>
  <c r="G29" i="43"/>
  <c r="G45" i="43"/>
  <c r="I51" i="43"/>
  <c r="G23" i="43"/>
  <c r="I57" i="43"/>
  <c r="G36" i="43"/>
  <c r="O6" i="40"/>
  <c r="N7" i="40"/>
  <c r="B31" i="39"/>
  <c r="EZ32" i="39"/>
  <c r="F34" i="39"/>
  <c r="K6" i="45"/>
  <c r="K8" i="45"/>
  <c r="C38" i="39"/>
  <c r="D5" i="40" s="1"/>
  <c r="L7" i="45"/>
  <c r="L8" i="45"/>
  <c r="X7" i="48"/>
  <c r="X8" i="48" s="1"/>
  <c r="W7" i="48"/>
  <c r="W8" i="48" s="1"/>
  <c r="W9" i="48" s="1"/>
  <c r="W10" i="48" s="1"/>
  <c r="X9" i="48"/>
  <c r="X10" i="48" s="1"/>
  <c r="F16" i="48"/>
  <c r="F13" i="49"/>
  <c r="F10" i="49"/>
  <c r="A33" i="39"/>
  <c r="C33" i="39" s="1"/>
  <c r="Y11" i="48"/>
  <c r="F17" i="48" s="1"/>
  <c r="L10" i="50"/>
  <c r="L13" i="50"/>
  <c r="L38" i="39"/>
  <c r="C5" i="40" s="1"/>
  <c r="L6" i="45"/>
  <c r="H10" i="49"/>
  <c r="E10" i="45"/>
  <c r="E11" i="45" s="1"/>
  <c r="L9" i="50"/>
  <c r="F9" i="50"/>
  <c r="L8" i="50"/>
  <c r="C14" i="24" l="1"/>
  <c r="D14" i="24" s="1"/>
  <c r="R14" i="24" s="1"/>
  <c r="Y10" i="48"/>
  <c r="C9" i="48" s="1"/>
  <c r="N13" i="48" s="1"/>
  <c r="E7" i="43"/>
  <c r="G7" i="43" s="1"/>
  <c r="J7" i="43" s="1"/>
  <c r="N19" i="43"/>
  <c r="O7" i="43"/>
  <c r="O19" i="43" s="1"/>
  <c r="N75" i="43"/>
  <c r="O63" i="43"/>
  <c r="O75" i="43" s="1"/>
  <c r="O21" i="43"/>
  <c r="O33" i="43" s="1"/>
  <c r="N33" i="43"/>
  <c r="E7" i="41"/>
  <c r="M4" i="47"/>
  <c r="K4" i="47"/>
  <c r="N4" i="47" s="1"/>
  <c r="K9" i="45"/>
  <c r="K11" i="45" s="1"/>
  <c r="K10" i="45"/>
  <c r="C35" i="39"/>
  <c r="D33" i="39"/>
  <c r="E33" i="39" s="1"/>
  <c r="G14" i="24"/>
  <c r="H14" i="24" s="1"/>
  <c r="T14" i="24" s="1"/>
  <c r="F15" i="24"/>
  <c r="H14" i="46"/>
  <c r="G14" i="46"/>
  <c r="F14" i="20"/>
  <c r="E14" i="20"/>
  <c r="D14" i="20"/>
  <c r="C14" i="20"/>
  <c r="G14" i="20"/>
  <c r="G18" i="23" a="1"/>
  <c r="G18" i="23" s="1"/>
  <c r="L15" i="22"/>
  <c r="S9" i="22"/>
  <c r="N24" i="29"/>
  <c r="M4" i="26"/>
  <c r="K4" i="26"/>
  <c r="L4" i="26" s="1"/>
  <c r="K14" i="46"/>
  <c r="C15" i="46" s="1"/>
  <c r="N47" i="43"/>
  <c r="O35" i="43"/>
  <c r="O47" i="43" s="1"/>
  <c r="J6" i="30"/>
  <c r="F14" i="22"/>
  <c r="D14" i="22"/>
  <c r="C14" i="22"/>
  <c r="E14" i="22"/>
  <c r="L13" i="49"/>
  <c r="L10" i="49"/>
  <c r="F33" i="39"/>
  <c r="G34" i="39"/>
  <c r="L9" i="45"/>
  <c r="H8" i="45"/>
  <c r="H9" i="45" s="1"/>
  <c r="H10" i="45" s="1"/>
  <c r="L10" i="45"/>
  <c r="N8" i="40"/>
  <c r="O7" i="40"/>
  <c r="O49" i="43"/>
  <c r="O61" i="43" s="1"/>
  <c r="N61" i="43"/>
  <c r="H20" i="30"/>
  <c r="F11" i="33"/>
  <c r="F6" i="33"/>
  <c r="F10" i="33" s="1"/>
  <c r="F12" i="33" s="1"/>
  <c r="F13" i="33" s="1"/>
  <c r="F14" i="33" s="1"/>
  <c r="F15" i="33" s="1"/>
  <c r="F8" i="33"/>
  <c r="E8" i="33"/>
  <c r="E10" i="33"/>
  <c r="I7" i="33"/>
  <c r="F9" i="33" a="1"/>
  <c r="F9" i="33" s="1"/>
  <c r="E9" i="33"/>
  <c r="G6" i="33"/>
  <c r="G7" i="33" s="1"/>
  <c r="D15" i="46"/>
  <c r="E14" i="46"/>
  <c r="L14" i="46"/>
  <c r="L15" i="46" s="1"/>
  <c r="EZ31" i="39"/>
  <c r="A31" i="39"/>
  <c r="E31" i="39" s="1"/>
  <c r="F31" i="39" s="1"/>
  <c r="B30" i="39"/>
  <c r="D11" i="43"/>
  <c r="P11" i="29"/>
  <c r="G13" i="46"/>
  <c r="H13" i="46"/>
  <c r="L4" i="47"/>
  <c r="L13" i="45"/>
  <c r="L12" i="45"/>
  <c r="H7" i="45"/>
  <c r="H11" i="45" s="1"/>
  <c r="A32" i="39"/>
  <c r="D32" i="39" s="1"/>
  <c r="D8" i="41"/>
  <c r="F7" i="43"/>
  <c r="N72" i="41"/>
  <c r="N64" i="41"/>
  <c r="N73" i="41"/>
  <c r="N65" i="41"/>
  <c r="N74" i="41"/>
  <c r="N66" i="41"/>
  <c r="N68" i="41"/>
  <c r="N57" i="41"/>
  <c r="N69" i="41"/>
  <c r="N58" i="41"/>
  <c r="N55" i="41"/>
  <c r="N44" i="41"/>
  <c r="N36" i="41"/>
  <c r="N25" i="41"/>
  <c r="N70" i="41"/>
  <c r="N63" i="41"/>
  <c r="N56" i="41"/>
  <c r="N45" i="41"/>
  <c r="N37" i="41"/>
  <c r="N67" i="41"/>
  <c r="N60" i="41"/>
  <c r="N49" i="41"/>
  <c r="N46" i="41"/>
  <c r="N38" i="41"/>
  <c r="N27" i="41"/>
  <c r="N71" i="41"/>
  <c r="N51" i="41"/>
  <c r="N40" i="41"/>
  <c r="N29" i="41"/>
  <c r="N52" i="41"/>
  <c r="N41" i="41"/>
  <c r="N30" i="41"/>
  <c r="N59" i="41"/>
  <c r="N50" i="41"/>
  <c r="N43" i="41"/>
  <c r="N26" i="41"/>
  <c r="N22" i="41"/>
  <c r="N23" i="41"/>
  <c r="N15" i="41"/>
  <c r="N11" i="41"/>
  <c r="N7" i="41"/>
  <c r="N54" i="41"/>
  <c r="N31" i="41"/>
  <c r="N24" i="41"/>
  <c r="N16" i="41"/>
  <c r="N12" i="41"/>
  <c r="N8" i="41"/>
  <c r="M4" i="41"/>
  <c r="N42" i="41"/>
  <c r="N35" i="41"/>
  <c r="N17" i="41"/>
  <c r="N13" i="41"/>
  <c r="N9" i="41"/>
  <c r="N39" i="41"/>
  <c r="N32" i="41"/>
  <c r="N28" i="41"/>
  <c r="N21" i="41"/>
  <c r="N10" i="41"/>
  <c r="N53" i="41"/>
  <c r="N14" i="41"/>
  <c r="N18" i="41"/>
  <c r="B16" i="24"/>
  <c r="C15" i="24" l="1"/>
  <c r="D15" i="24" s="1"/>
  <c r="R15" i="24" s="1"/>
  <c r="G12" i="33"/>
  <c r="G13" i="33" s="1"/>
  <c r="G14" i="33" s="1"/>
  <c r="G15" i="33" s="1"/>
  <c r="P18" i="41"/>
  <c r="R18" i="41" s="1"/>
  <c r="T18" i="41" s="1"/>
  <c r="O18" i="41"/>
  <c r="S18" i="41" s="1"/>
  <c r="P60" i="41"/>
  <c r="R60" i="41" s="1"/>
  <c r="T60" i="41" s="1"/>
  <c r="O60" i="41"/>
  <c r="S60" i="41" s="1"/>
  <c r="P40" i="41"/>
  <c r="R40" i="41" s="1"/>
  <c r="T40" i="41" s="1"/>
  <c r="O40" i="41"/>
  <c r="S40" i="41" s="1"/>
  <c r="E32" i="39"/>
  <c r="F32" i="39" s="1"/>
  <c r="D35" i="39"/>
  <c r="H12" i="45"/>
  <c r="I13" i="45" s="1"/>
  <c r="H13" i="45" s="1"/>
  <c r="G7" i="41"/>
  <c r="J7" i="41" s="1"/>
  <c r="F7" i="41"/>
  <c r="K10" i="44"/>
  <c r="O20" i="43"/>
  <c r="L10" i="44" s="1"/>
  <c r="P9" i="41"/>
  <c r="R9" i="41" s="1"/>
  <c r="T9" i="41" s="1"/>
  <c r="O9" i="41"/>
  <c r="S9" i="41" s="1"/>
  <c r="S22" i="41"/>
  <c r="P22" i="41"/>
  <c r="R22" i="41" s="1"/>
  <c r="T22" i="41" s="1"/>
  <c r="O22" i="41"/>
  <c r="K5" i="47"/>
  <c r="L5" i="47" s="1"/>
  <c r="M5" i="47" s="1"/>
  <c r="S13" i="41"/>
  <c r="P13" i="41"/>
  <c r="R13" i="41" s="1"/>
  <c r="T13" i="41" s="1"/>
  <c r="O13" i="41"/>
  <c r="P26" i="41"/>
  <c r="R26" i="41" s="1"/>
  <c r="T26" i="41" s="1"/>
  <c r="O26" i="41"/>
  <c r="S26" i="41" s="1"/>
  <c r="P44" i="41"/>
  <c r="R44" i="41" s="1"/>
  <c r="T44" i="41" s="1"/>
  <c r="O44" i="41"/>
  <c r="S44" i="41" s="1"/>
  <c r="S53" i="41"/>
  <c r="P53" i="41"/>
  <c r="R53" i="41" s="1"/>
  <c r="T53" i="41" s="1"/>
  <c r="O53" i="41"/>
  <c r="P17" i="41"/>
  <c r="R17" i="41" s="1"/>
  <c r="T17" i="41" s="1"/>
  <c r="O17" i="41"/>
  <c r="S17" i="41" s="1"/>
  <c r="P31" i="41"/>
  <c r="R31" i="41" s="1"/>
  <c r="T31" i="41" s="1"/>
  <c r="O31" i="41"/>
  <c r="S31" i="41" s="1"/>
  <c r="S43" i="41"/>
  <c r="P43" i="41"/>
  <c r="R43" i="41" s="1"/>
  <c r="T43" i="41" s="1"/>
  <c r="O43" i="41"/>
  <c r="P51" i="41"/>
  <c r="R51" i="41" s="1"/>
  <c r="T51" i="41" s="1"/>
  <c r="S51" i="41"/>
  <c r="O51" i="41"/>
  <c r="S37" i="41"/>
  <c r="P37" i="41"/>
  <c r="R37" i="41" s="1"/>
  <c r="T37" i="41" s="1"/>
  <c r="O37" i="41"/>
  <c r="P55" i="41"/>
  <c r="R55" i="41" s="1"/>
  <c r="T55" i="41" s="1"/>
  <c r="O55" i="41"/>
  <c r="S55" i="41" s="1"/>
  <c r="P73" i="41"/>
  <c r="R73" i="41" s="1"/>
  <c r="T73" i="41" s="1"/>
  <c r="O73" i="41"/>
  <c r="S73" i="41" s="1"/>
  <c r="L11" i="45"/>
  <c r="J10" i="44"/>
  <c r="N20" i="43"/>
  <c r="P29" i="41"/>
  <c r="R29" i="41" s="1"/>
  <c r="T29" i="41" s="1"/>
  <c r="S29" i="41"/>
  <c r="O29" i="41"/>
  <c r="N76" i="43"/>
  <c r="J14" i="44"/>
  <c r="S14" i="41"/>
  <c r="P14" i="41"/>
  <c r="R14" i="41" s="1"/>
  <c r="T14" i="41" s="1"/>
  <c r="O14" i="41"/>
  <c r="S24" i="41"/>
  <c r="P24" i="41"/>
  <c r="R24" i="41" s="1"/>
  <c r="T24" i="41" s="1"/>
  <c r="O24" i="41"/>
  <c r="P67" i="41"/>
  <c r="R67" i="41" s="1"/>
  <c r="T67" i="41" s="1"/>
  <c r="O67" i="41"/>
  <c r="S67" i="41" s="1"/>
  <c r="P65" i="41"/>
  <c r="R65" i="41" s="1"/>
  <c r="T65" i="41" s="1"/>
  <c r="O65" i="41"/>
  <c r="S65" i="41" s="1"/>
  <c r="D9" i="41"/>
  <c r="P10" i="41"/>
  <c r="R10" i="41" s="1"/>
  <c r="T10" i="41" s="1"/>
  <c r="O10" i="41"/>
  <c r="S10" i="41" s="1"/>
  <c r="N47" i="41"/>
  <c r="P35" i="41"/>
  <c r="O35" i="41"/>
  <c r="S35" i="41" s="1"/>
  <c r="P54" i="41"/>
  <c r="R54" i="41" s="1"/>
  <c r="T54" i="41" s="1"/>
  <c r="O54" i="41"/>
  <c r="S54" i="41" s="1"/>
  <c r="P50" i="41"/>
  <c r="R50" i="41" s="1"/>
  <c r="T50" i="41" s="1"/>
  <c r="S50" i="41"/>
  <c r="O50" i="41"/>
  <c r="S71" i="41"/>
  <c r="P71" i="41"/>
  <c r="R71" i="41" s="1"/>
  <c r="T71" i="41" s="1"/>
  <c r="O71" i="41"/>
  <c r="P45" i="41"/>
  <c r="R45" i="41" s="1"/>
  <c r="T45" i="41" s="1"/>
  <c r="O45" i="41"/>
  <c r="S45" i="41" s="1"/>
  <c r="P58" i="41"/>
  <c r="R58" i="41" s="1"/>
  <c r="T58" i="41" s="1"/>
  <c r="O58" i="41"/>
  <c r="S58" i="41" s="1"/>
  <c r="S64" i="41"/>
  <c r="P64" i="41"/>
  <c r="R64" i="41" s="1"/>
  <c r="T64" i="41" s="1"/>
  <c r="O64" i="41"/>
  <c r="L14" i="45"/>
  <c r="N62" i="43"/>
  <c r="J13" i="44"/>
  <c r="G33" i="39"/>
  <c r="G32" i="39"/>
  <c r="G31" i="39"/>
  <c r="H34" i="39"/>
  <c r="N25" i="29"/>
  <c r="C8" i="41"/>
  <c r="S59" i="41"/>
  <c r="P59" i="41"/>
  <c r="R59" i="41" s="1"/>
  <c r="T59" i="41" s="1"/>
  <c r="O59" i="41"/>
  <c r="K13" i="44"/>
  <c r="O62" i="43"/>
  <c r="L13" i="44" s="1"/>
  <c r="O48" i="43"/>
  <c r="L12" i="44" s="1"/>
  <c r="K12" i="44"/>
  <c r="K11" i="23"/>
  <c r="J11" i="23"/>
  <c r="P36" i="41"/>
  <c r="R36" i="41" s="1"/>
  <c r="T36" i="41" s="1"/>
  <c r="O36" i="41"/>
  <c r="S36" i="41" s="1"/>
  <c r="M5" i="26"/>
  <c r="K5" i="26"/>
  <c r="L5" i="26" s="1"/>
  <c r="N33" i="41"/>
  <c r="S21" i="41"/>
  <c r="P21" i="41"/>
  <c r="O21" i="41"/>
  <c r="P56" i="41"/>
  <c r="R56" i="41" s="1"/>
  <c r="T56" i="41" s="1"/>
  <c r="S56" i="41"/>
  <c r="O56" i="41"/>
  <c r="K7" i="43"/>
  <c r="B17" i="24"/>
  <c r="N26" i="29"/>
  <c r="N27" i="29" s="1"/>
  <c r="P28" i="41"/>
  <c r="R28" i="41" s="1"/>
  <c r="T28" i="41" s="1"/>
  <c r="S28" i="41"/>
  <c r="O28" i="41"/>
  <c r="O11" i="41"/>
  <c r="S11" i="41"/>
  <c r="P11" i="41"/>
  <c r="R11" i="41" s="1"/>
  <c r="T11" i="41" s="1"/>
  <c r="P30" i="41"/>
  <c r="R30" i="41" s="1"/>
  <c r="T30" i="41" s="1"/>
  <c r="O30" i="41"/>
  <c r="S30" i="41" s="1"/>
  <c r="P38" i="41"/>
  <c r="R38" i="41" s="1"/>
  <c r="T38" i="41" s="1"/>
  <c r="O38" i="41"/>
  <c r="S38" i="41" s="1"/>
  <c r="N75" i="41"/>
  <c r="P63" i="41"/>
  <c r="O63" i="41"/>
  <c r="S63" i="41" s="1"/>
  <c r="P57" i="41"/>
  <c r="R57" i="41" s="1"/>
  <c r="T57" i="41" s="1"/>
  <c r="S57" i="41"/>
  <c r="O57" i="41"/>
  <c r="P13" i="29"/>
  <c r="D16" i="46"/>
  <c r="E15" i="46"/>
  <c r="N48" i="43"/>
  <c r="J12" i="44"/>
  <c r="N34" i="43"/>
  <c r="J11" i="44"/>
  <c r="P16" i="41"/>
  <c r="R16" i="41" s="1"/>
  <c r="T16" i="41" s="1"/>
  <c r="O16" i="41"/>
  <c r="S16" i="41" s="1"/>
  <c r="P74" i="41"/>
  <c r="R74" i="41" s="1"/>
  <c r="T74" i="41" s="1"/>
  <c r="K16" i="42" s="1"/>
  <c r="S74" i="41"/>
  <c r="O74" i="41"/>
  <c r="P42" i="41"/>
  <c r="R42" i="41" s="1"/>
  <c r="T42" i="41" s="1"/>
  <c r="O42" i="41"/>
  <c r="S42" i="41" s="1"/>
  <c r="P27" i="41"/>
  <c r="R27" i="41" s="1"/>
  <c r="T27" i="41" s="1"/>
  <c r="O27" i="41"/>
  <c r="S27" i="41" s="1"/>
  <c r="S72" i="41"/>
  <c r="P72" i="41"/>
  <c r="R72" i="41" s="1"/>
  <c r="T72" i="41" s="1"/>
  <c r="O72" i="41"/>
  <c r="P12" i="29"/>
  <c r="S32" i="41"/>
  <c r="P32" i="41"/>
  <c r="R32" i="41" s="1"/>
  <c r="T32" i="41" s="1"/>
  <c r="O32" i="41"/>
  <c r="P8" i="41"/>
  <c r="R8" i="41" s="1"/>
  <c r="T8" i="41" s="1"/>
  <c r="O8" i="41"/>
  <c r="S8" i="41" s="1"/>
  <c r="O15" i="41"/>
  <c r="S15" i="41"/>
  <c r="P15" i="41"/>
  <c r="R15" i="41" s="1"/>
  <c r="T15" i="41" s="1"/>
  <c r="P41" i="41"/>
  <c r="R41" i="41" s="1"/>
  <c r="T41" i="41" s="1"/>
  <c r="O41" i="41"/>
  <c r="S41" i="41" s="1"/>
  <c r="P46" i="41"/>
  <c r="R46" i="41" s="1"/>
  <c r="T46" i="41" s="1"/>
  <c r="S46" i="41"/>
  <c r="O46" i="41"/>
  <c r="S70" i="41"/>
  <c r="P70" i="41"/>
  <c r="R70" i="41" s="1"/>
  <c r="T70" i="41" s="1"/>
  <c r="O70" i="41"/>
  <c r="P68" i="41"/>
  <c r="R68" i="41" s="1"/>
  <c r="T68" i="41" s="1"/>
  <c r="O68" i="41"/>
  <c r="S68" i="41" s="1"/>
  <c r="D12" i="43"/>
  <c r="F15" i="46"/>
  <c r="K11" i="44"/>
  <c r="O34" i="43"/>
  <c r="L11" i="44" s="1"/>
  <c r="C8" i="43"/>
  <c r="E35" i="39"/>
  <c r="O7" i="41"/>
  <c r="S7" i="41"/>
  <c r="N19" i="41"/>
  <c r="P7" i="41"/>
  <c r="P69" i="41"/>
  <c r="R69" i="41" s="1"/>
  <c r="T69" i="41" s="1"/>
  <c r="O69" i="41"/>
  <c r="S69" i="41" s="1"/>
  <c r="P14" i="29"/>
  <c r="P39" i="41"/>
  <c r="R39" i="41" s="1"/>
  <c r="T39" i="41" s="1"/>
  <c r="S39" i="41"/>
  <c r="O39" i="41"/>
  <c r="P12" i="41"/>
  <c r="R12" i="41" s="1"/>
  <c r="T12" i="41" s="1"/>
  <c r="O12" i="41"/>
  <c r="S12" i="41"/>
  <c r="O23" i="41"/>
  <c r="S23" i="41" s="1"/>
  <c r="P23" i="41"/>
  <c r="R23" i="41" s="1"/>
  <c r="T23" i="41" s="1"/>
  <c r="S52" i="41"/>
  <c r="P52" i="41"/>
  <c r="R52" i="41" s="1"/>
  <c r="T52" i="41" s="1"/>
  <c r="O52" i="41"/>
  <c r="P49" i="41"/>
  <c r="S49" i="41"/>
  <c r="N61" i="41"/>
  <c r="O49" i="41"/>
  <c r="P25" i="41"/>
  <c r="R25" i="41" s="1"/>
  <c r="T25" i="41" s="1"/>
  <c r="S25" i="41"/>
  <c r="O25" i="41"/>
  <c r="P66" i="41"/>
  <c r="R66" i="41" s="1"/>
  <c r="T66" i="41" s="1"/>
  <c r="O66" i="41"/>
  <c r="S66" i="41" s="1"/>
  <c r="EZ30" i="39"/>
  <c r="A30" i="39"/>
  <c r="F30" i="39" s="1"/>
  <c r="F35" i="39" s="1"/>
  <c r="B29" i="39"/>
  <c r="N9" i="40"/>
  <c r="O8" i="40"/>
  <c r="G15" i="24"/>
  <c r="H15" i="24" s="1"/>
  <c r="T15" i="24" s="1"/>
  <c r="F16" i="24"/>
  <c r="N5" i="47"/>
  <c r="O76" i="43"/>
  <c r="L14" i="44" s="1"/>
  <c r="K14" i="44"/>
  <c r="F15" i="48"/>
  <c r="Y13" i="48"/>
  <c r="C16" i="24" l="1"/>
  <c r="D16" i="24" s="1"/>
  <c r="R16" i="24" s="1"/>
  <c r="S47" i="41"/>
  <c r="P15" i="29"/>
  <c r="S75" i="41"/>
  <c r="M6" i="47"/>
  <c r="K6" i="47"/>
  <c r="L6" i="47" s="1"/>
  <c r="J13" i="42"/>
  <c r="S61" i="41"/>
  <c r="E8" i="43"/>
  <c r="P47" i="41"/>
  <c r="R35" i="41"/>
  <c r="T35" i="41" s="1"/>
  <c r="P75" i="41"/>
  <c r="R63" i="41"/>
  <c r="T63" i="41" s="1"/>
  <c r="I34" i="39"/>
  <c r="H30" i="39"/>
  <c r="H32" i="39"/>
  <c r="H31" i="39"/>
  <c r="H33" i="39"/>
  <c r="G16" i="24"/>
  <c r="H16" i="24" s="1"/>
  <c r="T16" i="24" s="1"/>
  <c r="F17" i="24"/>
  <c r="D10" i="41"/>
  <c r="O9" i="40"/>
  <c r="N10" i="40"/>
  <c r="P19" i="41"/>
  <c r="R7" i="41"/>
  <c r="T7" i="41" s="1"/>
  <c r="E16" i="46"/>
  <c r="D17" i="46"/>
  <c r="P33" i="41"/>
  <c r="R21" i="41"/>
  <c r="T21" i="41" s="1"/>
  <c r="G30" i="39"/>
  <c r="L16" i="46"/>
  <c r="L17" i="46" s="1"/>
  <c r="N48" i="41"/>
  <c r="J12" i="42"/>
  <c r="J15" i="44"/>
  <c r="L15" i="44"/>
  <c r="P61" i="41"/>
  <c r="R49" i="41"/>
  <c r="T49" i="41" s="1"/>
  <c r="N6" i="47"/>
  <c r="N20" i="41"/>
  <c r="J10" i="42"/>
  <c r="J15" i="42" s="1"/>
  <c r="N76" i="41"/>
  <c r="J14" i="42"/>
  <c r="B18" i="24"/>
  <c r="S33" i="41"/>
  <c r="K15" i="44"/>
  <c r="S19" i="41"/>
  <c r="J11" i="42"/>
  <c r="E8" i="41"/>
  <c r="G8" i="41" s="1"/>
  <c r="J8" i="41" s="1"/>
  <c r="K7" i="41"/>
  <c r="A29" i="39"/>
  <c r="G29" i="39" s="1"/>
  <c r="G35" i="39" s="1"/>
  <c r="EZ29" i="39"/>
  <c r="B28" i="39"/>
  <c r="G15" i="46"/>
  <c r="H15" i="46"/>
  <c r="K15" i="46"/>
  <c r="C16" i="46" s="1"/>
  <c r="F16" i="46" s="1"/>
  <c r="D13" i="43"/>
  <c r="N28" i="29"/>
  <c r="K6" i="26"/>
  <c r="L6" i="26" s="1"/>
  <c r="M6" i="26" s="1"/>
  <c r="C17" i="24" l="1"/>
  <c r="D17" i="24" s="1"/>
  <c r="R17" i="24" s="1"/>
  <c r="K7" i="26"/>
  <c r="L7" i="26" s="1"/>
  <c r="M7" i="26" s="1"/>
  <c r="K7" i="47"/>
  <c r="L7" i="47" s="1"/>
  <c r="M7" i="47" s="1"/>
  <c r="EZ28" i="39"/>
  <c r="B27" i="39"/>
  <c r="A28" i="39"/>
  <c r="H28" i="39" s="1"/>
  <c r="O10" i="40"/>
  <c r="N11" i="40"/>
  <c r="P30" i="29"/>
  <c r="S76" i="41"/>
  <c r="L14" i="42" s="1"/>
  <c r="K14" i="42"/>
  <c r="S34" i="41"/>
  <c r="L11" i="42" s="1"/>
  <c r="K11" i="42"/>
  <c r="N7" i="47"/>
  <c r="I28" i="39"/>
  <c r="I30" i="39"/>
  <c r="I32" i="39"/>
  <c r="J34" i="39"/>
  <c r="I31" i="39"/>
  <c r="I33" i="39"/>
  <c r="G8" i="43"/>
  <c r="J8" i="43" s="1"/>
  <c r="F8" i="43"/>
  <c r="S62" i="41"/>
  <c r="L13" i="42" s="1"/>
  <c r="K13" i="42"/>
  <c r="P29" i="29"/>
  <c r="N29" i="29"/>
  <c r="P16" i="29"/>
  <c r="F8" i="41"/>
  <c r="N34" i="41"/>
  <c r="B19" i="24"/>
  <c r="E17" i="46"/>
  <c r="D18" i="46"/>
  <c r="L18" i="46" s="1"/>
  <c r="D11" i="41"/>
  <c r="N62" i="41"/>
  <c r="H16" i="46"/>
  <c r="G16" i="46"/>
  <c r="K16" i="46"/>
  <c r="C17" i="46" s="1"/>
  <c r="F17" i="46" s="1"/>
  <c r="S20" i="41"/>
  <c r="L10" i="42" s="1"/>
  <c r="K10" i="42"/>
  <c r="H29" i="39"/>
  <c r="I29" i="39" s="1"/>
  <c r="N30" i="29"/>
  <c r="P17" i="29" s="1"/>
  <c r="D14" i="43"/>
  <c r="G17" i="24"/>
  <c r="H17" i="24" s="1"/>
  <c r="T17" i="24" s="1"/>
  <c r="F18" i="24"/>
  <c r="K12" i="42"/>
  <c r="S48" i="41"/>
  <c r="L12" i="42" s="1"/>
  <c r="C18" i="24" l="1"/>
  <c r="D18" i="24" s="1"/>
  <c r="R18" i="24" s="1"/>
  <c r="K8" i="47"/>
  <c r="L8" i="47" s="1"/>
  <c r="M8" i="47" s="1"/>
  <c r="K8" i="26"/>
  <c r="L8" i="26" s="1"/>
  <c r="M8" i="26" s="1"/>
  <c r="P25" i="29"/>
  <c r="B20" i="24"/>
  <c r="P26" i="29"/>
  <c r="N12" i="40"/>
  <c r="O11" i="40"/>
  <c r="P24" i="29"/>
  <c r="N8" i="47"/>
  <c r="D12" i="41"/>
  <c r="K8" i="41"/>
  <c r="C9" i="41"/>
  <c r="P22" i="29"/>
  <c r="G18" i="24"/>
  <c r="H18" i="24" s="1"/>
  <c r="T18" i="24" s="1"/>
  <c r="F19" i="24"/>
  <c r="K15" i="42"/>
  <c r="P19" i="29"/>
  <c r="P21" i="29"/>
  <c r="J30" i="39"/>
  <c r="J32" i="39"/>
  <c r="K34" i="39"/>
  <c r="J29" i="39"/>
  <c r="J28" i="39"/>
  <c r="J33" i="39"/>
  <c r="J31" i="39"/>
  <c r="P27" i="29"/>
  <c r="P20" i="29"/>
  <c r="P23" i="29"/>
  <c r="L15" i="42"/>
  <c r="D19" i="46"/>
  <c r="L19" i="46" s="1"/>
  <c r="E18" i="46"/>
  <c r="K8" i="43"/>
  <c r="C9" i="43"/>
  <c r="H35" i="39"/>
  <c r="P18" i="29"/>
  <c r="P28" i="29"/>
  <c r="G17" i="46"/>
  <c r="H17" i="46"/>
  <c r="K17" i="46"/>
  <c r="C18" i="46" s="1"/>
  <c r="F18" i="46" s="1"/>
  <c r="D15" i="43"/>
  <c r="EZ27" i="39"/>
  <c r="B26" i="39"/>
  <c r="A27" i="39"/>
  <c r="I27" i="39" s="1"/>
  <c r="I35" i="39" s="1"/>
  <c r="C19" i="24" l="1"/>
  <c r="D19" i="24" s="1"/>
  <c r="R19" i="24" s="1"/>
  <c r="K9" i="26"/>
  <c r="L9" i="26" s="1"/>
  <c r="M9" i="26"/>
  <c r="K9" i="47"/>
  <c r="L9" i="47" s="1"/>
  <c r="M9" i="47" s="1"/>
  <c r="K32" i="39"/>
  <c r="L34" i="39"/>
  <c r="K29" i="39"/>
  <c r="K28" i="39"/>
  <c r="K33" i="39"/>
  <c r="K31" i="39"/>
  <c r="K30" i="39"/>
  <c r="G19" i="24"/>
  <c r="H19" i="24" s="1"/>
  <c r="T19" i="24" s="1"/>
  <c r="F20" i="24"/>
  <c r="B21" i="24"/>
  <c r="E9" i="43"/>
  <c r="H18" i="46"/>
  <c r="G18" i="46"/>
  <c r="K18" i="46"/>
  <c r="C19" i="46" s="1"/>
  <c r="F19" i="46" s="1"/>
  <c r="D16" i="43"/>
  <c r="E9" i="41"/>
  <c r="O12" i="40"/>
  <c r="N13" i="40"/>
  <c r="A26" i="39"/>
  <c r="J26" i="39" s="1"/>
  <c r="J35" i="39" s="1"/>
  <c r="B25" i="39"/>
  <c r="EZ26" i="39"/>
  <c r="D20" i="46"/>
  <c r="E19" i="46"/>
  <c r="J27" i="39"/>
  <c r="K27" i="39" s="1"/>
  <c r="D13" i="41"/>
  <c r="C20" i="24" l="1"/>
  <c r="D20" i="24" s="1"/>
  <c r="R20" i="24" s="1"/>
  <c r="K10" i="47"/>
  <c r="L10" i="47" s="1"/>
  <c r="M10" i="47"/>
  <c r="D17" i="43"/>
  <c r="G19" i="46"/>
  <c r="H19" i="46"/>
  <c r="K19" i="46"/>
  <c r="C20" i="46" s="1"/>
  <c r="F20" i="46" s="1"/>
  <c r="O13" i="40"/>
  <c r="N14" i="40"/>
  <c r="B22" i="24"/>
  <c r="K26" i="39"/>
  <c r="L26" i="39" s="1"/>
  <c r="N9" i="47"/>
  <c r="N10" i="47" s="1"/>
  <c r="L29" i="39"/>
  <c r="M34" i="39"/>
  <c r="L28" i="39"/>
  <c r="L27" i="39"/>
  <c r="L33" i="39"/>
  <c r="L31" i="39"/>
  <c r="L32" i="39"/>
  <c r="L30" i="39"/>
  <c r="K10" i="26"/>
  <c r="L10" i="26" s="1"/>
  <c r="M10" i="26" s="1"/>
  <c r="E20" i="46"/>
  <c r="D21" i="46"/>
  <c r="G20" i="24"/>
  <c r="H20" i="24" s="1"/>
  <c r="T20" i="24" s="1"/>
  <c r="F21" i="24"/>
  <c r="D14" i="41"/>
  <c r="B24" i="39"/>
  <c r="A25" i="39"/>
  <c r="K25" i="39" s="1"/>
  <c r="K35" i="39" s="1"/>
  <c r="EZ25" i="39"/>
  <c r="G9" i="41"/>
  <c r="J9" i="41" s="1"/>
  <c r="F9" i="41"/>
  <c r="G9" i="43"/>
  <c r="J9" i="43" s="1"/>
  <c r="F9" i="43"/>
  <c r="L20" i="46"/>
  <c r="C21" i="24" l="1"/>
  <c r="D21" i="24" s="1"/>
  <c r="R21" i="24" s="1"/>
  <c r="K11" i="26"/>
  <c r="L11" i="26" s="1"/>
  <c r="M11" i="26" s="1"/>
  <c r="H20" i="46"/>
  <c r="G20" i="46"/>
  <c r="K20" i="46"/>
  <c r="C21" i="46" s="1"/>
  <c r="F21" i="46" s="1"/>
  <c r="D22" i="46"/>
  <c r="E21" i="46"/>
  <c r="A24" i="39"/>
  <c r="L24" i="39" s="1"/>
  <c r="EZ24" i="39"/>
  <c r="B23" i="39"/>
  <c r="D18" i="43"/>
  <c r="L21" i="46"/>
  <c r="L22" i="46" s="1"/>
  <c r="D15" i="41"/>
  <c r="B23" i="24"/>
  <c r="L25" i="39"/>
  <c r="N15" i="40"/>
  <c r="O14" i="40"/>
  <c r="K11" i="47"/>
  <c r="L11" i="47" s="1"/>
  <c r="M11" i="47" s="1"/>
  <c r="K9" i="43"/>
  <c r="C10" i="43"/>
  <c r="K9" i="41"/>
  <c r="C10" i="41"/>
  <c r="G21" i="24"/>
  <c r="H21" i="24" s="1"/>
  <c r="T21" i="24" s="1"/>
  <c r="F22" i="24"/>
  <c r="M27" i="39"/>
  <c r="M29" i="39"/>
  <c r="M25" i="39"/>
  <c r="M28" i="39"/>
  <c r="M26" i="39"/>
  <c r="M33" i="39"/>
  <c r="M31" i="39"/>
  <c r="M23" i="39"/>
  <c r="M30" i="39"/>
  <c r="M32" i="39"/>
  <c r="N34" i="39"/>
  <c r="M24" i="39"/>
  <c r="M35" i="39"/>
  <c r="C22" i="24" l="1"/>
  <c r="D22" i="24" s="1"/>
  <c r="R22" i="24" s="1"/>
  <c r="K12" i="47"/>
  <c r="L12" i="47" s="1"/>
  <c r="M12" i="47" s="1"/>
  <c r="K12" i="26"/>
  <c r="L12" i="26" s="1"/>
  <c r="M12" i="26" s="1"/>
  <c r="N16" i="40"/>
  <c r="O15" i="40"/>
  <c r="L23" i="46"/>
  <c r="D23" i="46"/>
  <c r="E22" i="46"/>
  <c r="D21" i="43"/>
  <c r="G21" i="46"/>
  <c r="H21" i="46"/>
  <c r="K21" i="46"/>
  <c r="C22" i="46" s="1"/>
  <c r="F22" i="46" s="1"/>
  <c r="E10" i="43"/>
  <c r="N30" i="39"/>
  <c r="N28" i="39"/>
  <c r="N26" i="39"/>
  <c r="N33" i="39"/>
  <c r="N31" i="39"/>
  <c r="N27" i="39"/>
  <c r="N23" i="39"/>
  <c r="N35" i="39"/>
  <c r="N32" i="39"/>
  <c r="N24" i="39"/>
  <c r="O34" i="39"/>
  <c r="N22" i="39"/>
  <c r="N29" i="39"/>
  <c r="N25" i="39"/>
  <c r="G22" i="24"/>
  <c r="H22" i="24" s="1"/>
  <c r="T22" i="24" s="1"/>
  <c r="F23" i="24"/>
  <c r="A23" i="39"/>
  <c r="EZ23" i="39"/>
  <c r="B22" i="39"/>
  <c r="N11" i="47"/>
  <c r="N12" i="47" s="1"/>
  <c r="B24" i="24"/>
  <c r="E10" i="41"/>
  <c r="D16" i="41"/>
  <c r="L35" i="39"/>
  <c r="C23" i="24" l="1"/>
  <c r="C24" i="24" s="1"/>
  <c r="K13" i="26"/>
  <c r="L13" i="26" s="1"/>
  <c r="M13" i="26" s="1"/>
  <c r="K13" i="47"/>
  <c r="L13" i="47" s="1"/>
  <c r="M13" i="47" s="1"/>
  <c r="H22" i="46"/>
  <c r="G22" i="46"/>
  <c r="K22" i="46"/>
  <c r="C23" i="46" s="1"/>
  <c r="F23" i="46" s="1"/>
  <c r="L24" i="46"/>
  <c r="O33" i="39"/>
  <c r="O32" i="39"/>
  <c r="O31" i="39"/>
  <c r="O27" i="39"/>
  <c r="O21" i="39"/>
  <c r="O23" i="39"/>
  <c r="O35" i="39"/>
  <c r="O30" i="39"/>
  <c r="O24" i="39"/>
  <c r="P34" i="39"/>
  <c r="O22" i="39"/>
  <c r="O26" i="39"/>
  <c r="O28" i="39"/>
  <c r="O29" i="39"/>
  <c r="O25" i="39"/>
  <c r="G10" i="41"/>
  <c r="J10" i="41" s="1"/>
  <c r="F10" i="41"/>
  <c r="N17" i="40"/>
  <c r="O16" i="40"/>
  <c r="D17" i="41"/>
  <c r="A22" i="39"/>
  <c r="B21" i="39"/>
  <c r="EZ22" i="39"/>
  <c r="G23" i="24"/>
  <c r="H23" i="24" s="1"/>
  <c r="T23" i="24" s="1"/>
  <c r="F24" i="24"/>
  <c r="D22" i="43"/>
  <c r="N13" i="47"/>
  <c r="G10" i="43"/>
  <c r="J10" i="43" s="1"/>
  <c r="F10" i="43"/>
  <c r="B25" i="24"/>
  <c r="D24" i="46"/>
  <c r="E23" i="46"/>
  <c r="D23" i="24" l="1"/>
  <c r="R23" i="24" s="1"/>
  <c r="K14" i="47"/>
  <c r="L14" i="47" s="1"/>
  <c r="M14" i="47" s="1"/>
  <c r="K14" i="26"/>
  <c r="L14" i="26" s="1"/>
  <c r="M14" i="26"/>
  <c r="N14" i="47"/>
  <c r="G23" i="46"/>
  <c r="H23" i="46"/>
  <c r="K23" i="46"/>
  <c r="C24" i="46" s="1"/>
  <c r="F24" i="46" s="1"/>
  <c r="EZ21" i="39"/>
  <c r="A21" i="39"/>
  <c r="B20" i="39"/>
  <c r="E24" i="46"/>
  <c r="D25" i="46"/>
  <c r="D18" i="41"/>
  <c r="D23" i="43"/>
  <c r="N18" i="40"/>
  <c r="O17" i="40"/>
  <c r="Q34" i="39"/>
  <c r="P26" i="39"/>
  <c r="P21" i="39"/>
  <c r="P33" i="39"/>
  <c r="P31" i="39"/>
  <c r="P23" i="39"/>
  <c r="P20" i="39"/>
  <c r="P35" i="39"/>
  <c r="P30" i="39"/>
  <c r="P24" i="39"/>
  <c r="P32" i="39"/>
  <c r="P22" i="39"/>
  <c r="P29" i="39"/>
  <c r="P25" i="39"/>
  <c r="P27" i="39"/>
  <c r="P28" i="39"/>
  <c r="G24" i="24"/>
  <c r="H24" i="24" s="1"/>
  <c r="T24" i="24" s="1"/>
  <c r="F25" i="24"/>
  <c r="B26" i="24"/>
  <c r="C25" i="24"/>
  <c r="K10" i="43"/>
  <c r="C11" i="43"/>
  <c r="K10" i="41"/>
  <c r="C11" i="41"/>
  <c r="D24" i="24" l="1"/>
  <c r="R24" i="24" s="1"/>
  <c r="K15" i="47"/>
  <c r="L15" i="47" s="1"/>
  <c r="M15" i="47" s="1"/>
  <c r="D21" i="41"/>
  <c r="G25" i="24"/>
  <c r="H25" i="24" s="1"/>
  <c r="T25" i="24" s="1"/>
  <c r="F26" i="24"/>
  <c r="E11" i="43"/>
  <c r="Q28" i="39"/>
  <c r="Q19" i="39"/>
  <c r="Q20" i="39"/>
  <c r="Q35" i="39"/>
  <c r="Q30" i="39"/>
  <c r="Q24" i="39"/>
  <c r="Q32" i="39"/>
  <c r="Q22" i="39"/>
  <c r="R34" i="39"/>
  <c r="Q29" i="39"/>
  <c r="Q25" i="39"/>
  <c r="Q31" i="39"/>
  <c r="Q23" i="39"/>
  <c r="Q27" i="39"/>
  <c r="Q33" i="39"/>
  <c r="Q21" i="39"/>
  <c r="Q26" i="39"/>
  <c r="E25" i="46"/>
  <c r="D26" i="46"/>
  <c r="N15" i="47"/>
  <c r="O18" i="40"/>
  <c r="R4" i="40"/>
  <c r="EZ20" i="39"/>
  <c r="B19" i="39"/>
  <c r="A20" i="39"/>
  <c r="K15" i="26"/>
  <c r="L15" i="26" s="1"/>
  <c r="M15" i="26" s="1"/>
  <c r="D24" i="43"/>
  <c r="H24" i="46"/>
  <c r="G24" i="46"/>
  <c r="K24" i="46"/>
  <c r="C25" i="46" s="1"/>
  <c r="F25" i="46" s="1"/>
  <c r="E11" i="41"/>
  <c r="B27" i="24"/>
  <c r="C26" i="24"/>
  <c r="L25" i="46"/>
  <c r="L26" i="46" s="1"/>
  <c r="D25" i="24" l="1"/>
  <c r="R25" i="24" s="1"/>
  <c r="K16" i="26"/>
  <c r="L16" i="26" s="1"/>
  <c r="M16" i="26" s="1"/>
  <c r="K16" i="47"/>
  <c r="L16" i="47" s="1"/>
  <c r="M16" i="47" s="1"/>
  <c r="G26" i="24"/>
  <c r="H26" i="24" s="1"/>
  <c r="T26" i="24" s="1"/>
  <c r="F27" i="24"/>
  <c r="G11" i="41"/>
  <c r="J11" i="41" s="1"/>
  <c r="F11" i="41"/>
  <c r="D27" i="46"/>
  <c r="E26" i="46"/>
  <c r="EZ19" i="39"/>
  <c r="B18" i="39"/>
  <c r="A19" i="39"/>
  <c r="R25" i="39"/>
  <c r="R22" i="39"/>
  <c r="R20" i="39"/>
  <c r="R35" i="39"/>
  <c r="R30" i="39"/>
  <c r="R24" i="39"/>
  <c r="R32" i="39"/>
  <c r="R19" i="39"/>
  <c r="R18" i="39"/>
  <c r="S34" i="39"/>
  <c r="R29" i="39"/>
  <c r="R28" i="39"/>
  <c r="R27" i="39"/>
  <c r="R26" i="39"/>
  <c r="R33" i="39"/>
  <c r="R21" i="39"/>
  <c r="R23" i="39"/>
  <c r="R31" i="39"/>
  <c r="D22" i="41"/>
  <c r="D25" i="43"/>
  <c r="N16" i="47"/>
  <c r="L27" i="46"/>
  <c r="S4" i="40"/>
  <c r="R5" i="40"/>
  <c r="G25" i="46"/>
  <c r="H25" i="46"/>
  <c r="K25" i="46"/>
  <c r="C26" i="46" s="1"/>
  <c r="F26" i="46" s="1"/>
  <c r="B28" i="24"/>
  <c r="C27" i="24"/>
  <c r="G11" i="43"/>
  <c r="J11" i="43" s="1"/>
  <c r="F11" i="43"/>
  <c r="D26" i="24" l="1"/>
  <c r="R26" i="24" s="1"/>
  <c r="K17" i="47"/>
  <c r="L17" i="47" s="1"/>
  <c r="M17" i="47" s="1"/>
  <c r="K17" i="26"/>
  <c r="L17" i="26" s="1"/>
  <c r="M17" i="26" s="1"/>
  <c r="G27" i="24"/>
  <c r="H27" i="24" s="1"/>
  <c r="T27" i="24" s="1"/>
  <c r="F28" i="24"/>
  <c r="B29" i="24"/>
  <c r="C28" i="24"/>
  <c r="N17" i="47"/>
  <c r="A18" i="39"/>
  <c r="B17" i="39"/>
  <c r="EZ18" i="39"/>
  <c r="D26" i="43"/>
  <c r="D23" i="41"/>
  <c r="D28" i="46"/>
  <c r="L28" i="46" s="1"/>
  <c r="E27" i="46"/>
  <c r="S35" i="39"/>
  <c r="S24" i="39"/>
  <c r="S23" i="39"/>
  <c r="S30" i="39"/>
  <c r="S32" i="39"/>
  <c r="S19" i="39"/>
  <c r="S18" i="39"/>
  <c r="T34" i="39"/>
  <c r="S29" i="39"/>
  <c r="S22" i="39"/>
  <c r="S25" i="39"/>
  <c r="S17" i="39"/>
  <c r="S28" i="39"/>
  <c r="S27" i="39"/>
  <c r="S26" i="39"/>
  <c r="S33" i="39"/>
  <c r="S31" i="39"/>
  <c r="S21" i="39"/>
  <c r="S20" i="39"/>
  <c r="H26" i="46"/>
  <c r="G26" i="46"/>
  <c r="K26" i="46"/>
  <c r="C27" i="46" s="1"/>
  <c r="F27" i="46" s="1"/>
  <c r="K11" i="43"/>
  <c r="C12" i="43"/>
  <c r="S5" i="40"/>
  <c r="R6" i="40"/>
  <c r="K11" i="41"/>
  <c r="C12" i="41"/>
  <c r="D27" i="24" l="1"/>
  <c r="R27" i="24" s="1"/>
  <c r="K18" i="26"/>
  <c r="L18" i="26" s="1"/>
  <c r="M18" i="26" s="1"/>
  <c r="K18" i="47"/>
  <c r="L18" i="47" s="1"/>
  <c r="M18" i="47" s="1"/>
  <c r="G28" i="24"/>
  <c r="H28" i="24" s="1"/>
  <c r="T28" i="24" s="1"/>
  <c r="F29" i="24"/>
  <c r="E12" i="43"/>
  <c r="B16" i="39"/>
  <c r="EZ17" i="39"/>
  <c r="A17" i="39"/>
  <c r="T29" i="39"/>
  <c r="T18" i="39"/>
  <c r="T35" i="39"/>
  <c r="T32" i="39"/>
  <c r="T24" i="39"/>
  <c r="T19" i="39"/>
  <c r="U34" i="39"/>
  <c r="T22" i="39"/>
  <c r="T25" i="39"/>
  <c r="T17" i="39"/>
  <c r="T28" i="39"/>
  <c r="T27" i="39"/>
  <c r="T26" i="39"/>
  <c r="T16" i="39"/>
  <c r="T33" i="39"/>
  <c r="T31" i="39"/>
  <c r="T21" i="39"/>
  <c r="T23" i="39"/>
  <c r="T20" i="39"/>
  <c r="T30" i="39"/>
  <c r="E28" i="46"/>
  <c r="D29" i="46"/>
  <c r="N18" i="47"/>
  <c r="E12" i="41"/>
  <c r="D24" i="41"/>
  <c r="G27" i="46"/>
  <c r="H27" i="46"/>
  <c r="K27" i="46"/>
  <c r="C28" i="46" s="1"/>
  <c r="F28" i="46" s="1"/>
  <c r="R7" i="40"/>
  <c r="S6" i="40"/>
  <c r="D27" i="43"/>
  <c r="B30" i="24"/>
  <c r="C29" i="24"/>
  <c r="D28" i="24" l="1"/>
  <c r="R28" i="24" s="1"/>
  <c r="K19" i="47"/>
  <c r="L19" i="47" s="1"/>
  <c r="M19" i="47" s="1"/>
  <c r="K19" i="26"/>
  <c r="L19" i="26" s="1"/>
  <c r="M19" i="26" s="1"/>
  <c r="D25" i="41"/>
  <c r="G29" i="24"/>
  <c r="H29" i="24" s="1"/>
  <c r="T29" i="24" s="1"/>
  <c r="F30" i="24"/>
  <c r="S7" i="40"/>
  <c r="R8" i="40"/>
  <c r="G12" i="41"/>
  <c r="J12" i="41" s="1"/>
  <c r="F12" i="41"/>
  <c r="U27" i="39"/>
  <c r="U20" i="39"/>
  <c r="V34" i="39"/>
  <c r="U22" i="39"/>
  <c r="U18" i="39"/>
  <c r="U29" i="39"/>
  <c r="U25" i="39"/>
  <c r="U17" i="39"/>
  <c r="U28" i="39"/>
  <c r="U26" i="39"/>
  <c r="U16" i="39"/>
  <c r="U15" i="39"/>
  <c r="U33" i="39"/>
  <c r="U31" i="39"/>
  <c r="U21" i="39"/>
  <c r="U23" i="39"/>
  <c r="U32" i="39"/>
  <c r="U24" i="39"/>
  <c r="U19" i="39"/>
  <c r="U35" i="39"/>
  <c r="U30" i="39"/>
  <c r="N19" i="47"/>
  <c r="D30" i="46"/>
  <c r="E29" i="46"/>
  <c r="B15" i="39"/>
  <c r="A16" i="39"/>
  <c r="EZ16" i="39"/>
  <c r="H28" i="46"/>
  <c r="G28" i="46"/>
  <c r="K28" i="46"/>
  <c r="C29" i="46" s="1"/>
  <c r="F29" i="46" s="1"/>
  <c r="D28" i="43"/>
  <c r="B31" i="24"/>
  <c r="C30" i="24"/>
  <c r="G12" i="43"/>
  <c r="J12" i="43" s="1"/>
  <c r="F12" i="43"/>
  <c r="L29" i="46"/>
  <c r="L30" i="46" s="1"/>
  <c r="D29" i="24" l="1"/>
  <c r="R29" i="24" s="1"/>
  <c r="K20" i="26"/>
  <c r="L20" i="26" s="1"/>
  <c r="M20" i="26"/>
  <c r="K20" i="47"/>
  <c r="L20" i="47" s="1"/>
  <c r="M20" i="47" s="1"/>
  <c r="B14" i="39"/>
  <c r="A15" i="39"/>
  <c r="EZ15" i="39"/>
  <c r="K12" i="41"/>
  <c r="C13" i="41"/>
  <c r="D26" i="41"/>
  <c r="G30" i="24"/>
  <c r="H30" i="24" s="1"/>
  <c r="T30" i="24" s="1"/>
  <c r="F31" i="24"/>
  <c r="D29" i="43"/>
  <c r="E30" i="46"/>
  <c r="D31" i="46"/>
  <c r="L31" i="46"/>
  <c r="S8" i="40"/>
  <c r="R9" i="40"/>
  <c r="G29" i="46"/>
  <c r="H29" i="46"/>
  <c r="K29" i="46"/>
  <c r="C30" i="46" s="1"/>
  <c r="F30" i="46" s="1"/>
  <c r="K12" i="43"/>
  <c r="C13" i="43"/>
  <c r="B32" i="24"/>
  <c r="C31" i="24"/>
  <c r="V30" i="39"/>
  <c r="V29" i="39"/>
  <c r="V25" i="39"/>
  <c r="V28" i="39"/>
  <c r="V26" i="39"/>
  <c r="V16" i="39"/>
  <c r="V15" i="39"/>
  <c r="V33" i="39"/>
  <c r="V31" i="39"/>
  <c r="V27" i="39"/>
  <c r="V21" i="39"/>
  <c r="V23" i="39"/>
  <c r="V20" i="39"/>
  <c r="W34" i="39"/>
  <c r="V24" i="39"/>
  <c r="V19" i="39"/>
  <c r="V35" i="39"/>
  <c r="V17" i="39"/>
  <c r="V22" i="39"/>
  <c r="V14" i="39"/>
  <c r="V18" i="39"/>
  <c r="V32" i="39"/>
  <c r="D30" i="24" l="1"/>
  <c r="R30" i="24" s="1"/>
  <c r="K21" i="47"/>
  <c r="L21" i="47" s="1"/>
  <c r="M21" i="47"/>
  <c r="B33" i="24"/>
  <c r="C32" i="24"/>
  <c r="G31" i="24"/>
  <c r="H31" i="24" s="1"/>
  <c r="T31" i="24" s="1"/>
  <c r="F32" i="24"/>
  <c r="R10" i="40"/>
  <c r="S9" i="40"/>
  <c r="A14" i="39"/>
  <c r="EZ14" i="39"/>
  <c r="B13" i="39"/>
  <c r="D30" i="43"/>
  <c r="E13" i="43"/>
  <c r="D32" i="46"/>
  <c r="E31" i="46"/>
  <c r="D27" i="41"/>
  <c r="W33" i="39"/>
  <c r="W32" i="39"/>
  <c r="W31" i="39"/>
  <c r="W28" i="39"/>
  <c r="W26" i="39"/>
  <c r="W27" i="39"/>
  <c r="W21" i="39"/>
  <c r="W23" i="39"/>
  <c r="W20" i="39"/>
  <c r="W35" i="39"/>
  <c r="W30" i="39"/>
  <c r="W24" i="39"/>
  <c r="W19" i="39"/>
  <c r="W13" i="39"/>
  <c r="X34" i="39"/>
  <c r="W16" i="39"/>
  <c r="W17" i="39"/>
  <c r="W22" i="39"/>
  <c r="W29" i="39"/>
  <c r="W25" i="39"/>
  <c r="W14" i="39"/>
  <c r="W18" i="39"/>
  <c r="W15" i="39"/>
  <c r="H30" i="46"/>
  <c r="G30" i="46"/>
  <c r="K30" i="46"/>
  <c r="C31" i="46" s="1"/>
  <c r="F31" i="46" s="1"/>
  <c r="E13" i="41"/>
  <c r="M21" i="26"/>
  <c r="K21" i="26"/>
  <c r="L21" i="26" s="1"/>
  <c r="N20" i="47"/>
  <c r="N21" i="47" s="1"/>
  <c r="D31" i="24" l="1"/>
  <c r="R31" i="24" s="1"/>
  <c r="D31" i="43"/>
  <c r="D28" i="41"/>
  <c r="G32" i="24"/>
  <c r="H32" i="24" s="1"/>
  <c r="T32" i="24" s="1"/>
  <c r="F33" i="24"/>
  <c r="Y34" i="39"/>
  <c r="X26" i="39"/>
  <c r="X21" i="39"/>
  <c r="X27" i="39"/>
  <c r="X33" i="39"/>
  <c r="X31" i="39"/>
  <c r="X23" i="39"/>
  <c r="X12" i="39"/>
  <c r="X20" i="39"/>
  <c r="X35" i="39"/>
  <c r="X30" i="39"/>
  <c r="X24" i="39"/>
  <c r="X19" i="39"/>
  <c r="X13" i="39"/>
  <c r="X32" i="39"/>
  <c r="X22" i="39"/>
  <c r="X18" i="39"/>
  <c r="X16" i="39"/>
  <c r="X17" i="39"/>
  <c r="X28" i="39"/>
  <c r="X29" i="39"/>
  <c r="X25" i="39"/>
  <c r="X14" i="39"/>
  <c r="X15" i="39"/>
  <c r="B12" i="39"/>
  <c r="EZ13" i="39"/>
  <c r="A13" i="39"/>
  <c r="E32" i="46"/>
  <c r="D33" i="46"/>
  <c r="G13" i="43"/>
  <c r="J13" i="43" s="1"/>
  <c r="F13" i="43"/>
  <c r="B34" i="24"/>
  <c r="C33" i="24"/>
  <c r="G13" i="41"/>
  <c r="J13" i="41" s="1"/>
  <c r="F13" i="41"/>
  <c r="K22" i="47"/>
  <c r="L22" i="47" s="1"/>
  <c r="M22" i="47" s="1"/>
  <c r="N22" i="47"/>
  <c r="K22" i="26"/>
  <c r="L22" i="26" s="1"/>
  <c r="M22" i="26" s="1"/>
  <c r="H31" i="46"/>
  <c r="G31" i="46"/>
  <c r="K31" i="46"/>
  <c r="C32" i="46" s="1"/>
  <c r="F32" i="46" s="1"/>
  <c r="L32" i="46"/>
  <c r="L33" i="46" s="1"/>
  <c r="S10" i="40"/>
  <c r="R11" i="40"/>
  <c r="D32" i="24" l="1"/>
  <c r="R32" i="24" s="1"/>
  <c r="K23" i="26"/>
  <c r="L23" i="26" s="1"/>
  <c r="M23" i="26" s="1"/>
  <c r="K23" i="47"/>
  <c r="L23" i="47" s="1"/>
  <c r="M23" i="47" s="1"/>
  <c r="G33" i="24"/>
  <c r="H33" i="24" s="1"/>
  <c r="T33" i="24" s="1"/>
  <c r="F34" i="24"/>
  <c r="A12" i="39"/>
  <c r="B11" i="39"/>
  <c r="EZ12" i="39"/>
  <c r="B35" i="24"/>
  <c r="C34" i="24"/>
  <c r="K13" i="43"/>
  <c r="C14" i="43"/>
  <c r="K13" i="41"/>
  <c r="C14" i="41"/>
  <c r="D29" i="41"/>
  <c r="S11" i="40"/>
  <c r="R12" i="40"/>
  <c r="D34" i="46"/>
  <c r="E33" i="46"/>
  <c r="D32" i="43"/>
  <c r="Y28" i="39"/>
  <c r="Y19" i="39"/>
  <c r="Y33" i="39"/>
  <c r="Y31" i="39"/>
  <c r="Y23" i="39"/>
  <c r="Y21" i="39"/>
  <c r="Y20" i="39"/>
  <c r="Y35" i="39"/>
  <c r="Y30" i="39"/>
  <c r="Y24" i="39"/>
  <c r="Y13" i="39"/>
  <c r="Y32" i="39"/>
  <c r="Y22" i="39"/>
  <c r="Y18" i="39"/>
  <c r="Y11" i="39"/>
  <c r="Z34" i="39"/>
  <c r="Y29" i="39"/>
  <c r="Y25" i="39"/>
  <c r="Y17" i="39"/>
  <c r="Y14" i="39"/>
  <c r="Y27" i="39"/>
  <c r="Y15" i="39"/>
  <c r="Y26" i="39"/>
  <c r="Y12" i="39"/>
  <c r="Y16" i="39"/>
  <c r="H32" i="46"/>
  <c r="G32" i="46"/>
  <c r="K32" i="46"/>
  <c r="C33" i="46" s="1"/>
  <c r="F33" i="46" s="1"/>
  <c r="D33" i="24" l="1"/>
  <c r="R33" i="24" s="1"/>
  <c r="K24" i="47"/>
  <c r="L24" i="47" s="1"/>
  <c r="M24" i="47" s="1"/>
  <c r="K24" i="26"/>
  <c r="L24" i="26" s="1"/>
  <c r="M24" i="26" s="1"/>
  <c r="D30" i="41"/>
  <c r="G34" i="24"/>
  <c r="H34" i="24" s="1"/>
  <c r="T34" i="24" s="1"/>
  <c r="F35" i="24"/>
  <c r="Z25" i="39"/>
  <c r="Z22" i="39"/>
  <c r="Z20" i="39"/>
  <c r="Z35" i="39"/>
  <c r="Z30" i="39"/>
  <c r="Z24" i="39"/>
  <c r="Z13" i="39"/>
  <c r="Z32" i="39"/>
  <c r="Z19" i="39"/>
  <c r="Z18" i="39"/>
  <c r="Z11" i="39"/>
  <c r="AA34" i="39"/>
  <c r="Z29" i="39"/>
  <c r="Z17" i="39"/>
  <c r="Z14" i="39"/>
  <c r="Z16" i="39"/>
  <c r="Z15" i="39"/>
  <c r="Z33" i="39"/>
  <c r="Z21" i="39"/>
  <c r="Z28" i="39"/>
  <c r="Z26" i="39"/>
  <c r="Z12" i="39"/>
  <c r="Z10" i="39"/>
  <c r="Z31" i="39"/>
  <c r="Z23" i="39"/>
  <c r="Z27" i="39"/>
  <c r="D35" i="43"/>
  <c r="E14" i="41"/>
  <c r="E34" i="46"/>
  <c r="D35" i="46"/>
  <c r="B36" i="24"/>
  <c r="C35" i="24"/>
  <c r="H33" i="46"/>
  <c r="G33" i="46"/>
  <c r="K33" i="46"/>
  <c r="C34" i="46" s="1"/>
  <c r="F34" i="46" s="1"/>
  <c r="N23" i="47"/>
  <c r="N24" i="47" s="1"/>
  <c r="E14" i="43"/>
  <c r="R13" i="40"/>
  <c r="S12" i="40"/>
  <c r="L34" i="46"/>
  <c r="L35" i="46" s="1"/>
  <c r="EZ11" i="39"/>
  <c r="A11" i="39"/>
  <c r="B10" i="39"/>
  <c r="D34" i="24" l="1"/>
  <c r="R34" i="24" s="1"/>
  <c r="K25" i="26"/>
  <c r="L25" i="26" s="1"/>
  <c r="M25" i="26" s="1"/>
  <c r="K25" i="47"/>
  <c r="L25" i="47" s="1"/>
  <c r="M25" i="47" s="1"/>
  <c r="G35" i="24"/>
  <c r="H35" i="24" s="1"/>
  <c r="T35" i="24" s="1"/>
  <c r="F36" i="24"/>
  <c r="G14" i="41"/>
  <c r="J14" i="41" s="1"/>
  <c r="F14" i="41"/>
  <c r="D36" i="43"/>
  <c r="AA35" i="39"/>
  <c r="AA24" i="39"/>
  <c r="AA23" i="39"/>
  <c r="AA20" i="39"/>
  <c r="AA30" i="39"/>
  <c r="AA13" i="39"/>
  <c r="AA32" i="39"/>
  <c r="AA19" i="39"/>
  <c r="AA18" i="39"/>
  <c r="AA11" i="39"/>
  <c r="AB34" i="39"/>
  <c r="AA29" i="39"/>
  <c r="AA22" i="39"/>
  <c r="AA17" i="39"/>
  <c r="AA14" i="39"/>
  <c r="AA25" i="39"/>
  <c r="AA16" i="39"/>
  <c r="AA15" i="39"/>
  <c r="AA28" i="39"/>
  <c r="AA27" i="39"/>
  <c r="AA26" i="39"/>
  <c r="AA10" i="39"/>
  <c r="AA9" i="39"/>
  <c r="AA12" i="39"/>
  <c r="AA31" i="39"/>
  <c r="AA33" i="39"/>
  <c r="AA21" i="39"/>
  <c r="D31" i="41"/>
  <c r="N25" i="47"/>
  <c r="L36" i="46"/>
  <c r="S13" i="40"/>
  <c r="R14" i="40"/>
  <c r="B37" i="24"/>
  <c r="C36" i="24"/>
  <c r="G34" i="46"/>
  <c r="H34" i="46"/>
  <c r="K34" i="46"/>
  <c r="C35" i="46" s="1"/>
  <c r="F35" i="46" s="1"/>
  <c r="B9" i="39"/>
  <c r="EZ10" i="39"/>
  <c r="A10" i="39"/>
  <c r="G14" i="43"/>
  <c r="J14" i="43" s="1"/>
  <c r="F14" i="43"/>
  <c r="D36" i="46"/>
  <c r="E35" i="46"/>
  <c r="D35" i="24" l="1"/>
  <c r="R35" i="24" s="1"/>
  <c r="K26" i="47"/>
  <c r="L26" i="47" s="1"/>
  <c r="M26" i="47"/>
  <c r="K26" i="26"/>
  <c r="L26" i="26" s="1"/>
  <c r="M26" i="26" s="1"/>
  <c r="K14" i="43"/>
  <c r="C15" i="43"/>
  <c r="AB29" i="39"/>
  <c r="AB18" i="39"/>
  <c r="AB30" i="39"/>
  <c r="AB35" i="39"/>
  <c r="AB32" i="39"/>
  <c r="AB24" i="39"/>
  <c r="AB19" i="39"/>
  <c r="AB11" i="39"/>
  <c r="AC34" i="39"/>
  <c r="AB22" i="39"/>
  <c r="AB17" i="39"/>
  <c r="AB14" i="39"/>
  <c r="AB25" i="39"/>
  <c r="AB16" i="39"/>
  <c r="AB15" i="39"/>
  <c r="AB28" i="39"/>
  <c r="AB27" i="39"/>
  <c r="AB26" i="39"/>
  <c r="AB10" i="39"/>
  <c r="AB33" i="39"/>
  <c r="AB31" i="39"/>
  <c r="AB21" i="39"/>
  <c r="AB12" i="39"/>
  <c r="AB13" i="39"/>
  <c r="AB9" i="39"/>
  <c r="AB20" i="39"/>
  <c r="AB8" i="39"/>
  <c r="AB23" i="39"/>
  <c r="G36" i="24"/>
  <c r="H36" i="24" s="1"/>
  <c r="T36" i="24" s="1"/>
  <c r="F37" i="24"/>
  <c r="S14" i="40"/>
  <c r="R15" i="40"/>
  <c r="B38" i="24"/>
  <c r="C37" i="24"/>
  <c r="EZ9" i="39"/>
  <c r="A9" i="39"/>
  <c r="B8" i="39"/>
  <c r="D37" i="43"/>
  <c r="D32" i="41"/>
  <c r="G35" i="46"/>
  <c r="H35" i="46"/>
  <c r="K35" i="46"/>
  <c r="C36" i="46" s="1"/>
  <c r="F36" i="46" s="1"/>
  <c r="D37" i="46"/>
  <c r="L37" i="46" s="1"/>
  <c r="E36" i="46"/>
  <c r="N26" i="47"/>
  <c r="K14" i="41"/>
  <c r="C15" i="41"/>
  <c r="D36" i="24" l="1"/>
  <c r="R36" i="24" s="1"/>
  <c r="K27" i="26"/>
  <c r="L27" i="26" s="1"/>
  <c r="M27" i="26" s="1"/>
  <c r="G36" i="46"/>
  <c r="H36" i="46"/>
  <c r="K36" i="46"/>
  <c r="C37" i="46" s="1"/>
  <c r="F37" i="46" s="1"/>
  <c r="E15" i="43"/>
  <c r="AC27" i="39"/>
  <c r="AC20" i="39"/>
  <c r="AC35" i="39"/>
  <c r="AC32" i="39"/>
  <c r="AC24" i="39"/>
  <c r="AC19" i="39"/>
  <c r="AD34" i="39"/>
  <c r="AC22" i="39"/>
  <c r="AC18" i="39"/>
  <c r="AC17" i="39"/>
  <c r="AC14" i="39"/>
  <c r="AC29" i="39"/>
  <c r="AC25" i="39"/>
  <c r="AC16" i="39"/>
  <c r="AC15" i="39"/>
  <c r="AC28" i="39"/>
  <c r="AC26" i="39"/>
  <c r="AC10" i="39"/>
  <c r="AC33" i="39"/>
  <c r="AC31" i="39"/>
  <c r="AC21" i="39"/>
  <c r="AC12" i="39"/>
  <c r="AC23" i="39"/>
  <c r="AC9" i="39"/>
  <c r="AC11" i="39"/>
  <c r="AC8" i="39"/>
  <c r="AC30" i="39"/>
  <c r="AC7" i="39"/>
  <c r="AC13" i="39"/>
  <c r="G37" i="24"/>
  <c r="H37" i="24" s="1"/>
  <c r="T37" i="24" s="1"/>
  <c r="F38" i="24"/>
  <c r="D35" i="41"/>
  <c r="D38" i="46"/>
  <c r="E37" i="46"/>
  <c r="A8" i="39"/>
  <c r="EZ8" i="39"/>
  <c r="B7" i="39"/>
  <c r="N27" i="47"/>
  <c r="B39" i="24"/>
  <c r="C38" i="24"/>
  <c r="K27" i="47"/>
  <c r="L27" i="47" s="1"/>
  <c r="C15" i="47"/>
  <c r="M27" i="47"/>
  <c r="S2" i="47"/>
  <c r="C11" i="47"/>
  <c r="E15" i="41"/>
  <c r="D38" i="43"/>
  <c r="R16" i="40"/>
  <c r="S15" i="40"/>
  <c r="D37" i="24" l="1"/>
  <c r="R37" i="24" s="1"/>
  <c r="K28" i="26"/>
  <c r="L28" i="26" s="1"/>
  <c r="M28" i="26"/>
  <c r="EZ7" i="39"/>
  <c r="B6" i="39"/>
  <c r="A7" i="39"/>
  <c r="G38" i="24"/>
  <c r="H38" i="24" s="1"/>
  <c r="T38" i="24" s="1"/>
  <c r="F39" i="24"/>
  <c r="AD30" i="39"/>
  <c r="AE34" i="39"/>
  <c r="AD22" i="39"/>
  <c r="AD18" i="39"/>
  <c r="AD17" i="39"/>
  <c r="AD29" i="39"/>
  <c r="AD25" i="39"/>
  <c r="AD16" i="39"/>
  <c r="AD15" i="39"/>
  <c r="AD28" i="39"/>
  <c r="AD26" i="39"/>
  <c r="AD10" i="39"/>
  <c r="AD33" i="39"/>
  <c r="AD31" i="39"/>
  <c r="AD27" i="39"/>
  <c r="AD21" i="39"/>
  <c r="AD12" i="39"/>
  <c r="AD23" i="39"/>
  <c r="AD9" i="39"/>
  <c r="AD6" i="39"/>
  <c r="AD8" i="39"/>
  <c r="AD7" i="39"/>
  <c r="AD24" i="39"/>
  <c r="AD19" i="39"/>
  <c r="AD11" i="39"/>
  <c r="AD35" i="39"/>
  <c r="AD14" i="39"/>
  <c r="AD20" i="39"/>
  <c r="AD32" i="39"/>
  <c r="AD13" i="39"/>
  <c r="H37" i="46"/>
  <c r="G37" i="46"/>
  <c r="K37" i="46"/>
  <c r="C38" i="46" s="1"/>
  <c r="F38" i="46" s="1"/>
  <c r="P361" i="47"/>
  <c r="P357" i="47"/>
  <c r="P359" i="47"/>
  <c r="P356" i="47"/>
  <c r="P352" i="47"/>
  <c r="P348" i="47"/>
  <c r="P344" i="47"/>
  <c r="P340" i="47"/>
  <c r="P336" i="47"/>
  <c r="P332" i="47"/>
  <c r="P328" i="47"/>
  <c r="P324" i="47"/>
  <c r="P320" i="47"/>
  <c r="P316" i="47"/>
  <c r="P312" i="47"/>
  <c r="P308" i="47"/>
  <c r="P304" i="47"/>
  <c r="P300" i="47"/>
  <c r="P296" i="47"/>
  <c r="P358" i="47"/>
  <c r="P353" i="47"/>
  <c r="P349" i="47"/>
  <c r="P345" i="47"/>
  <c r="P341" i="47"/>
  <c r="P337" i="47"/>
  <c r="P333" i="47"/>
  <c r="P329" i="47"/>
  <c r="P325" i="47"/>
  <c r="P321" i="47"/>
  <c r="P317" i="47"/>
  <c r="P313" i="47"/>
  <c r="P309" i="47"/>
  <c r="P305" i="47"/>
  <c r="P301" i="47"/>
  <c r="P297" i="47"/>
  <c r="P360" i="47"/>
  <c r="P354" i="47"/>
  <c r="P350" i="47"/>
  <c r="P346" i="47"/>
  <c r="P342" i="47"/>
  <c r="P338" i="47"/>
  <c r="P334" i="47"/>
  <c r="P330" i="47"/>
  <c r="P326" i="47"/>
  <c r="P322" i="47"/>
  <c r="P318" i="47"/>
  <c r="P314" i="47"/>
  <c r="P310" i="47"/>
  <c r="P306" i="47"/>
  <c r="P302" i="47"/>
  <c r="P298" i="47"/>
  <c r="P294" i="47"/>
  <c r="P339" i="47"/>
  <c r="P307" i="47"/>
  <c r="P293" i="47"/>
  <c r="P351" i="47"/>
  <c r="P331" i="47"/>
  <c r="P299" i="47"/>
  <c r="P343" i="47"/>
  <c r="P311" i="47"/>
  <c r="P292" i="47"/>
  <c r="P288" i="47"/>
  <c r="P284" i="47"/>
  <c r="P280" i="47"/>
  <c r="P355" i="47"/>
  <c r="P323" i="47"/>
  <c r="P347" i="47"/>
  <c r="P315" i="47"/>
  <c r="P281" i="47"/>
  <c r="P277" i="47"/>
  <c r="P269" i="47"/>
  <c r="P261" i="47"/>
  <c r="P253" i="47"/>
  <c r="P243" i="47"/>
  <c r="P240" i="47"/>
  <c r="P290" i="47"/>
  <c r="P287" i="47"/>
  <c r="P278" i="47"/>
  <c r="P270" i="47"/>
  <c r="P271" i="47"/>
  <c r="P263" i="47"/>
  <c r="P255" i="47"/>
  <c r="P247" i="47"/>
  <c r="P239" i="47"/>
  <c r="P236" i="47"/>
  <c r="P285" i="47"/>
  <c r="P282" i="47"/>
  <c r="P279" i="47"/>
  <c r="P272" i="47"/>
  <c r="P264" i="47"/>
  <c r="P256" i="47"/>
  <c r="P248" i="47"/>
  <c r="P245" i="47"/>
  <c r="P242" i="47"/>
  <c r="P229" i="47"/>
  <c r="P226" i="47"/>
  <c r="P222" i="47"/>
  <c r="P218" i="47"/>
  <c r="P214" i="47"/>
  <c r="P210" i="47"/>
  <c r="P303" i="47"/>
  <c r="P291" i="47"/>
  <c r="P273" i="47"/>
  <c r="P265" i="47"/>
  <c r="P257" i="47"/>
  <c r="P249" i="47"/>
  <c r="P235" i="47"/>
  <c r="P232" i="47"/>
  <c r="P362" i="47"/>
  <c r="P335" i="47"/>
  <c r="P327" i="47"/>
  <c r="P319" i="47"/>
  <c r="P295" i="47"/>
  <c r="P289" i="47"/>
  <c r="P286" i="47"/>
  <c r="P283" i="47"/>
  <c r="P275" i="47"/>
  <c r="P267" i="47"/>
  <c r="P259" i="47"/>
  <c r="P251" i="47"/>
  <c r="P244" i="47"/>
  <c r="P231" i="47"/>
  <c r="P258" i="47"/>
  <c r="P252" i="47"/>
  <c r="P246" i="47"/>
  <c r="P211" i="47"/>
  <c r="P208" i="47"/>
  <c r="P203" i="47"/>
  <c r="P195" i="47"/>
  <c r="P187" i="47"/>
  <c r="P179" i="47"/>
  <c r="P178" i="47"/>
  <c r="P268" i="47"/>
  <c r="P223" i="47"/>
  <c r="P220" i="47"/>
  <c r="P217" i="47"/>
  <c r="P204" i="47"/>
  <c r="P196" i="47"/>
  <c r="P188" i="47"/>
  <c r="P180" i="47"/>
  <c r="P172" i="47"/>
  <c r="P168" i="47"/>
  <c r="P164" i="47"/>
  <c r="P160" i="47"/>
  <c r="P156" i="47"/>
  <c r="P152" i="47"/>
  <c r="P148" i="47"/>
  <c r="P144" i="47"/>
  <c r="P205" i="47"/>
  <c r="P197" i="47"/>
  <c r="P189" i="47"/>
  <c r="P181" i="47"/>
  <c r="P177" i="47"/>
  <c r="P276" i="47"/>
  <c r="P260" i="47"/>
  <c r="P254" i="47"/>
  <c r="P241" i="47"/>
  <c r="P237" i="47"/>
  <c r="P233" i="47"/>
  <c r="P215" i="47"/>
  <c r="P212" i="47"/>
  <c r="P209" i="47"/>
  <c r="P206" i="47"/>
  <c r="P198" i="47"/>
  <c r="P190" i="47"/>
  <c r="P182" i="47"/>
  <c r="P173" i="47"/>
  <c r="P169" i="47"/>
  <c r="P165" i="47"/>
  <c r="P161" i="47"/>
  <c r="P157" i="47"/>
  <c r="P153" i="47"/>
  <c r="P149" i="47"/>
  <c r="P145" i="47"/>
  <c r="P141" i="47"/>
  <c r="P137" i="47"/>
  <c r="P133" i="47"/>
  <c r="P129" i="47"/>
  <c r="P125" i="47"/>
  <c r="P121" i="47"/>
  <c r="P117" i="47"/>
  <c r="P266" i="47"/>
  <c r="P227" i="47"/>
  <c r="P224" i="47"/>
  <c r="P221" i="47"/>
  <c r="P199" i="47"/>
  <c r="P191" i="47"/>
  <c r="P183" i="47"/>
  <c r="P250" i="47"/>
  <c r="P207" i="47"/>
  <c r="P200" i="47"/>
  <c r="P192" i="47"/>
  <c r="P184" i="47"/>
  <c r="P176" i="47"/>
  <c r="P174" i="47"/>
  <c r="P170" i="47"/>
  <c r="P166" i="47"/>
  <c r="P162" i="47"/>
  <c r="P158" i="47"/>
  <c r="P154" i="47"/>
  <c r="P150" i="47"/>
  <c r="P146" i="47"/>
  <c r="P274" i="47"/>
  <c r="P262" i="47"/>
  <c r="P219" i="47"/>
  <c r="P216" i="47"/>
  <c r="P213" i="47"/>
  <c r="P201" i="47"/>
  <c r="P193" i="47"/>
  <c r="P185" i="47"/>
  <c r="P155" i="47"/>
  <c r="P142" i="47"/>
  <c r="P134" i="47"/>
  <c r="P131" i="47"/>
  <c r="P128" i="47"/>
  <c r="P112" i="47"/>
  <c r="P104" i="47"/>
  <c r="P96" i="47"/>
  <c r="P92" i="47"/>
  <c r="P88" i="47"/>
  <c r="P84" i="47"/>
  <c r="P80" i="47"/>
  <c r="P76" i="47"/>
  <c r="P72" i="47"/>
  <c r="P68" i="47"/>
  <c r="P64" i="47"/>
  <c r="P60" i="47"/>
  <c r="P56" i="47"/>
  <c r="P52" i="47"/>
  <c r="P48" i="47"/>
  <c r="P44" i="47"/>
  <c r="P40" i="47"/>
  <c r="P32" i="47"/>
  <c r="P18" i="47"/>
  <c r="P17" i="47"/>
  <c r="P230" i="47"/>
  <c r="P159" i="47"/>
  <c r="P140" i="47"/>
  <c r="P113" i="47"/>
  <c r="P105" i="47"/>
  <c r="P97" i="47"/>
  <c r="C25" i="47"/>
  <c r="P24" i="47"/>
  <c r="P19" i="47"/>
  <c r="P228" i="47"/>
  <c r="P186" i="47"/>
  <c r="P163" i="47"/>
  <c r="P126" i="47"/>
  <c r="P123" i="47"/>
  <c r="P120" i="47"/>
  <c r="P114" i="47"/>
  <c r="P106" i="47"/>
  <c r="P98" i="47"/>
  <c r="P89" i="47"/>
  <c r="P85" i="47"/>
  <c r="P81" i="47"/>
  <c r="P77" i="47"/>
  <c r="P73" i="47"/>
  <c r="P69" i="47"/>
  <c r="P65" i="47"/>
  <c r="P61" i="47"/>
  <c r="P57" i="47"/>
  <c r="P53" i="47"/>
  <c r="P49" i="47"/>
  <c r="P45" i="47"/>
  <c r="P41" i="47"/>
  <c r="P33" i="47"/>
  <c r="P25" i="47"/>
  <c r="P20" i="47"/>
  <c r="P13" i="47"/>
  <c r="P12" i="47"/>
  <c r="P9" i="47"/>
  <c r="P4" i="47"/>
  <c r="P3" i="47"/>
  <c r="P194" i="47"/>
  <c r="P167" i="47"/>
  <c r="P138" i="47"/>
  <c r="P135" i="47"/>
  <c r="P132" i="47"/>
  <c r="P107" i="47"/>
  <c r="P99" i="47"/>
  <c r="P34" i="47"/>
  <c r="P27" i="47"/>
  <c r="P26" i="47"/>
  <c r="P21" i="47"/>
  <c r="P10" i="47"/>
  <c r="P225" i="47"/>
  <c r="P202" i="47"/>
  <c r="P171" i="47"/>
  <c r="P118" i="47"/>
  <c r="P115" i="47"/>
  <c r="P108" i="47"/>
  <c r="P100" i="47"/>
  <c r="P90" i="47"/>
  <c r="P86" i="47"/>
  <c r="P82" i="47"/>
  <c r="P78" i="47"/>
  <c r="P74" i="47"/>
  <c r="P70" i="47"/>
  <c r="P66" i="47"/>
  <c r="P62" i="47"/>
  <c r="P58" i="47"/>
  <c r="P54" i="47"/>
  <c r="P50" i="47"/>
  <c r="P46" i="47"/>
  <c r="P42" i="47"/>
  <c r="P35" i="47"/>
  <c r="P28" i="47"/>
  <c r="P238" i="47"/>
  <c r="P175" i="47"/>
  <c r="P143" i="47"/>
  <c r="P130" i="47"/>
  <c r="P127" i="47"/>
  <c r="P124" i="47"/>
  <c r="P109" i="47"/>
  <c r="P101" i="47"/>
  <c r="P93" i="47"/>
  <c r="P36" i="47"/>
  <c r="P30" i="47"/>
  <c r="P29" i="47"/>
  <c r="P147" i="47"/>
  <c r="P139" i="47"/>
  <c r="P136" i="47"/>
  <c r="P110" i="47"/>
  <c r="P102" i="47"/>
  <c r="P94" i="47"/>
  <c r="P91" i="47"/>
  <c r="P87" i="47"/>
  <c r="P83" i="47"/>
  <c r="P79" i="47"/>
  <c r="P75" i="47"/>
  <c r="P71" i="47"/>
  <c r="P67" i="47"/>
  <c r="P63" i="47"/>
  <c r="P59" i="47"/>
  <c r="P55" i="47"/>
  <c r="P51" i="47"/>
  <c r="P47" i="47"/>
  <c r="P43" i="47"/>
  <c r="P37" i="47"/>
  <c r="P31" i="47"/>
  <c r="P103" i="47"/>
  <c r="P38" i="47"/>
  <c r="P122" i="47"/>
  <c r="P111" i="47"/>
  <c r="P16" i="47"/>
  <c r="P23" i="47"/>
  <c r="P151" i="47"/>
  <c r="P22" i="47"/>
  <c r="P8" i="47"/>
  <c r="P7" i="47"/>
  <c r="P234" i="47"/>
  <c r="P119" i="47"/>
  <c r="P14" i="47"/>
  <c r="P6" i="47"/>
  <c r="P15" i="47"/>
  <c r="P116" i="47"/>
  <c r="P95" i="47"/>
  <c r="P39" i="47"/>
  <c r="P11" i="47"/>
  <c r="P5" i="47"/>
  <c r="C16" i="47"/>
  <c r="N28" i="47"/>
  <c r="Q3" i="47"/>
  <c r="T3" i="47" s="1"/>
  <c r="D39" i="43"/>
  <c r="D39" i="46"/>
  <c r="E38" i="46"/>
  <c r="G15" i="43"/>
  <c r="J15" i="43" s="1"/>
  <c r="F15" i="43"/>
  <c r="G15" i="41"/>
  <c r="J15" i="41" s="1"/>
  <c r="F15" i="41"/>
  <c r="D36" i="41"/>
  <c r="K28" i="47"/>
  <c r="L28" i="47" s="1"/>
  <c r="M28" i="47"/>
  <c r="S16" i="40"/>
  <c r="R17" i="40"/>
  <c r="B40" i="24"/>
  <c r="C39" i="24"/>
  <c r="L38" i="46"/>
  <c r="L39" i="46" s="1"/>
  <c r="D38" i="24" l="1"/>
  <c r="R38" i="24" s="1"/>
  <c r="B41" i="24"/>
  <c r="C40" i="24"/>
  <c r="K15" i="41"/>
  <c r="C16" i="41"/>
  <c r="G39" i="24"/>
  <c r="H39" i="24" s="1"/>
  <c r="T39" i="24" s="1"/>
  <c r="F40" i="24"/>
  <c r="R18" i="40"/>
  <c r="S17" i="40"/>
  <c r="K15" i="43"/>
  <c r="C16" i="43"/>
  <c r="D40" i="43"/>
  <c r="C26" i="47"/>
  <c r="C30" i="47"/>
  <c r="V3" i="47"/>
  <c r="EZ6" i="39"/>
  <c r="B5" i="39"/>
  <c r="A6" i="39"/>
  <c r="R3" i="47"/>
  <c r="S3" i="47" s="1"/>
  <c r="F12" i="47"/>
  <c r="M29" i="47"/>
  <c r="K29" i="47"/>
  <c r="L29" i="47" s="1"/>
  <c r="D40" i="46"/>
  <c r="E39" i="46"/>
  <c r="AE33" i="39"/>
  <c r="AE32" i="39"/>
  <c r="AE31" i="39"/>
  <c r="AE29" i="39"/>
  <c r="AE25" i="39"/>
  <c r="AE28" i="39"/>
  <c r="AE26" i="39"/>
  <c r="AE10" i="39"/>
  <c r="AE5" i="39"/>
  <c r="AE27" i="39"/>
  <c r="AE21" i="39"/>
  <c r="AE12" i="39"/>
  <c r="AE23" i="39"/>
  <c r="AE9" i="39"/>
  <c r="AE8" i="39"/>
  <c r="AE7" i="39"/>
  <c r="AE20" i="39"/>
  <c r="AE13" i="39"/>
  <c r="AE35" i="39"/>
  <c r="AE17" i="39"/>
  <c r="AE14" i="39"/>
  <c r="AE22" i="39"/>
  <c r="AE6" i="39"/>
  <c r="AE30" i="39"/>
  <c r="AE18" i="39"/>
  <c r="AE15" i="39"/>
  <c r="AE16" i="39"/>
  <c r="AE24" i="39"/>
  <c r="AE11" i="39"/>
  <c r="AE19" i="39"/>
  <c r="AF34" i="39"/>
  <c r="K29" i="26"/>
  <c r="L29" i="26" s="1"/>
  <c r="M29" i="26" s="1"/>
  <c r="D37" i="41"/>
  <c r="H38" i="46"/>
  <c r="G38" i="46"/>
  <c r="K38" i="46"/>
  <c r="C39" i="46" s="1"/>
  <c r="F39" i="46" s="1"/>
  <c r="D39" i="24" l="1"/>
  <c r="R39" i="24" s="1"/>
  <c r="K30" i="26"/>
  <c r="L30" i="26" s="1"/>
  <c r="M30" i="26" s="1"/>
  <c r="G39" i="46"/>
  <c r="H39" i="46"/>
  <c r="K39" i="46"/>
  <c r="C40" i="46" s="1"/>
  <c r="F40" i="46" s="1"/>
  <c r="X3" i="47"/>
  <c r="V4" i="47"/>
  <c r="N29" i="47"/>
  <c r="N30" i="47" s="1"/>
  <c r="S18" i="40"/>
  <c r="B42" i="24"/>
  <c r="C41" i="24"/>
  <c r="D41" i="43"/>
  <c r="E16" i="43"/>
  <c r="D41" i="46"/>
  <c r="E40" i="46"/>
  <c r="L40" i="46"/>
  <c r="L41" i="46" s="1"/>
  <c r="EZ5" i="39"/>
  <c r="A5" i="39"/>
  <c r="B4" i="39"/>
  <c r="G40" i="24"/>
  <c r="H40" i="24" s="1"/>
  <c r="T40" i="24" s="1"/>
  <c r="F41" i="24"/>
  <c r="E16" i="41"/>
  <c r="M30" i="47"/>
  <c r="K30" i="47"/>
  <c r="L30" i="47" s="1"/>
  <c r="D38" i="41"/>
  <c r="AF26" i="39"/>
  <c r="AF21" i="39"/>
  <c r="AF28" i="39"/>
  <c r="AF27" i="39"/>
  <c r="AF12" i="39"/>
  <c r="AF33" i="39"/>
  <c r="AF31" i="39"/>
  <c r="AF23" i="39"/>
  <c r="AF9" i="39"/>
  <c r="AF6" i="39"/>
  <c r="AF8" i="39"/>
  <c r="AF20" i="39"/>
  <c r="AF13" i="39"/>
  <c r="AF35" i="39"/>
  <c r="C36" i="39" s="1"/>
  <c r="D4" i="40" s="1"/>
  <c r="D6" i="40" s="1"/>
  <c r="AF30" i="39"/>
  <c r="AF24" i="39"/>
  <c r="AF19" i="39"/>
  <c r="AF11" i="39"/>
  <c r="AF4" i="39"/>
  <c r="AF14" i="39"/>
  <c r="AF22" i="39"/>
  <c r="AF29" i="39"/>
  <c r="AF25" i="39"/>
  <c r="AF18" i="39"/>
  <c r="AF15" i="39"/>
  <c r="AF10" i="39"/>
  <c r="AF32" i="39"/>
  <c r="AF16" i="39"/>
  <c r="AF5" i="39"/>
  <c r="AF7" i="39"/>
  <c r="AF17" i="39"/>
  <c r="Q4" i="47"/>
  <c r="D40" i="24" l="1"/>
  <c r="R40" i="24" s="1"/>
  <c r="K31" i="26"/>
  <c r="L31" i="26" s="1"/>
  <c r="M31" i="26" s="1"/>
  <c r="V5" i="47"/>
  <c r="K31" i="47"/>
  <c r="L31" i="47" s="1"/>
  <c r="M31" i="47" s="1"/>
  <c r="D42" i="43"/>
  <c r="L42" i="46"/>
  <c r="H40" i="46"/>
  <c r="G40" i="46"/>
  <c r="K40" i="46"/>
  <c r="C41" i="46" s="1"/>
  <c r="F41" i="46" s="1"/>
  <c r="G16" i="41"/>
  <c r="J16" i="41" s="1"/>
  <c r="F16" i="41"/>
  <c r="E41" i="46"/>
  <c r="D42" i="46"/>
  <c r="B43" i="24"/>
  <c r="C42" i="24"/>
  <c r="D39" i="41"/>
  <c r="G41" i="24"/>
  <c r="H41" i="24" s="1"/>
  <c r="T41" i="24" s="1"/>
  <c r="F42" i="24"/>
  <c r="G16" i="43"/>
  <c r="J16" i="43" s="1"/>
  <c r="F16" i="43"/>
  <c r="EZ4" i="39"/>
  <c r="P4" i="40"/>
  <c r="A4" i="39"/>
  <c r="L36" i="39" s="1"/>
  <c r="C4" i="40" s="1"/>
  <c r="C6" i="40" s="1"/>
  <c r="A8" i="40" s="1"/>
  <c r="P5" i="40"/>
  <c r="P6" i="40"/>
  <c r="P7" i="40"/>
  <c r="P8" i="40"/>
  <c r="P9" i="40"/>
  <c r="P10" i="40"/>
  <c r="P11" i="40"/>
  <c r="P12" i="40"/>
  <c r="P13" i="40"/>
  <c r="P14" i="40"/>
  <c r="P15" i="40"/>
  <c r="P16" i="40"/>
  <c r="P17" i="40"/>
  <c r="P18" i="40"/>
  <c r="T4" i="40"/>
  <c r="T5" i="40"/>
  <c r="T6" i="40"/>
  <c r="T7" i="40"/>
  <c r="T8" i="40"/>
  <c r="T9" i="40"/>
  <c r="T10" i="40"/>
  <c r="T11" i="40"/>
  <c r="T12" i="40"/>
  <c r="T13" i="40"/>
  <c r="T14" i="40"/>
  <c r="T15" i="40"/>
  <c r="T16" i="40"/>
  <c r="T17" i="40"/>
  <c r="T4" i="47"/>
  <c r="R4" i="47"/>
  <c r="S4" i="47" s="1"/>
  <c r="D41" i="24" l="1"/>
  <c r="R41" i="24" s="1"/>
  <c r="K32" i="47"/>
  <c r="L32" i="47" s="1"/>
  <c r="M32" i="47" s="1"/>
  <c r="K32" i="26"/>
  <c r="L32" i="26" s="1"/>
  <c r="M32" i="26" s="1"/>
  <c r="H41" i="46"/>
  <c r="G41" i="46"/>
  <c r="K41" i="46"/>
  <c r="C42" i="46" s="1"/>
  <c r="F42" i="46" s="1"/>
  <c r="Q5" i="47"/>
  <c r="R5" i="47" s="1"/>
  <c r="S5" i="47" s="1"/>
  <c r="T5" i="47"/>
  <c r="K16" i="43"/>
  <c r="C17" i="43"/>
  <c r="N31" i="47"/>
  <c r="N32" i="47" s="1"/>
  <c r="D40" i="41"/>
  <c r="B44" i="24"/>
  <c r="D43" i="24"/>
  <c r="R43" i="24" s="1"/>
  <c r="C43" i="24"/>
  <c r="X4" i="47"/>
  <c r="E42" i="46"/>
  <c r="D43" i="46"/>
  <c r="L43" i="46" s="1"/>
  <c r="V6" i="47"/>
  <c r="G42" i="24"/>
  <c r="H42" i="24" s="1"/>
  <c r="F43" i="24"/>
  <c r="D43" i="43"/>
  <c r="K16" i="41"/>
  <c r="C17" i="41"/>
  <c r="T18" i="40"/>
  <c r="H10" i="24"/>
  <c r="D42" i="24" l="1"/>
  <c r="F9" i="24"/>
  <c r="Q6" i="47"/>
  <c r="R6" i="47" s="1"/>
  <c r="S6" i="47" s="1"/>
  <c r="K33" i="26"/>
  <c r="L33" i="26" s="1"/>
  <c r="M33" i="26" s="1"/>
  <c r="T42" i="24"/>
  <c r="M33" i="47"/>
  <c r="K33" i="47"/>
  <c r="L33" i="47" s="1"/>
  <c r="D44" i="43"/>
  <c r="E17" i="43"/>
  <c r="G43" i="24"/>
  <c r="F44" i="24"/>
  <c r="H43" i="24"/>
  <c r="T43" i="24" s="1"/>
  <c r="T6" i="47"/>
  <c r="E17" i="41"/>
  <c r="X5" i="47"/>
  <c r="N33" i="47"/>
  <c r="B45" i="24"/>
  <c r="D44" i="24"/>
  <c r="R44" i="24" s="1"/>
  <c r="C44" i="24"/>
  <c r="V7" i="47"/>
  <c r="D41" i="41"/>
  <c r="D44" i="46"/>
  <c r="L44" i="46" s="1"/>
  <c r="E43" i="46"/>
  <c r="G42" i="46"/>
  <c r="H42" i="46"/>
  <c r="K42" i="46"/>
  <c r="C43" i="46" s="1"/>
  <c r="F43" i="46" s="1"/>
  <c r="D10" i="24"/>
  <c r="B9" i="24" l="1"/>
  <c r="R42" i="24"/>
  <c r="K34" i="26"/>
  <c r="L34" i="26" s="1"/>
  <c r="M34" i="26"/>
  <c r="Q7" i="47"/>
  <c r="R7" i="47" s="1"/>
  <c r="S7" i="47" s="1"/>
  <c r="B46" i="24"/>
  <c r="D45" i="24"/>
  <c r="R45" i="24" s="1"/>
  <c r="C45" i="24"/>
  <c r="K34" i="47"/>
  <c r="L34" i="47" s="1"/>
  <c r="M34" i="47"/>
  <c r="N34" i="47"/>
  <c r="D42" i="41"/>
  <c r="G17" i="43"/>
  <c r="J17" i="43" s="1"/>
  <c r="F17" i="43"/>
  <c r="V8" i="47"/>
  <c r="G17" i="41"/>
  <c r="J17" i="41" s="1"/>
  <c r="F17" i="41"/>
  <c r="D45" i="46"/>
  <c r="E44" i="46"/>
  <c r="X6" i="47"/>
  <c r="T7" i="47"/>
  <c r="G43" i="46"/>
  <c r="H43" i="46"/>
  <c r="K43" i="46"/>
  <c r="C44" i="46" s="1"/>
  <c r="F44" i="46" s="1"/>
  <c r="D45" i="43"/>
  <c r="G44" i="24"/>
  <c r="F45" i="24"/>
  <c r="H44" i="24"/>
  <c r="T44" i="24" s="1"/>
  <c r="Q8" i="47" l="1"/>
  <c r="R8" i="47" s="1"/>
  <c r="S8" i="47"/>
  <c r="G45" i="24"/>
  <c r="F46" i="24"/>
  <c r="H45" i="24"/>
  <c r="T45" i="24" s="1"/>
  <c r="X7" i="47"/>
  <c r="T8" i="47"/>
  <c r="D43" i="41"/>
  <c r="B47" i="24"/>
  <c r="D46" i="24"/>
  <c r="R46" i="24" s="1"/>
  <c r="C46" i="24"/>
  <c r="E45" i="46"/>
  <c r="D46" i="46"/>
  <c r="L45" i="46"/>
  <c r="L46" i="46" s="1"/>
  <c r="H44" i="46"/>
  <c r="G44" i="46"/>
  <c r="K44" i="46"/>
  <c r="C45" i="46" s="1"/>
  <c r="F45" i="46" s="1"/>
  <c r="K35" i="47"/>
  <c r="L35" i="47" s="1"/>
  <c r="M35" i="47" s="1"/>
  <c r="K35" i="26"/>
  <c r="L35" i="26" s="1"/>
  <c r="M35" i="26" s="1"/>
  <c r="K17" i="43"/>
  <c r="C18" i="43"/>
  <c r="D46" i="43"/>
  <c r="K17" i="41"/>
  <c r="C18" i="41"/>
  <c r="X8" i="47"/>
  <c r="V9" i="47"/>
  <c r="K36" i="26" l="1"/>
  <c r="L36" i="26" s="1"/>
  <c r="M36" i="26" s="1"/>
  <c r="K36" i="47"/>
  <c r="L36" i="47" s="1"/>
  <c r="M36" i="47" s="1"/>
  <c r="L47" i="46"/>
  <c r="N35" i="47"/>
  <c r="N36" i="47" s="1"/>
  <c r="T9" i="47"/>
  <c r="E46" i="46"/>
  <c r="D47" i="46"/>
  <c r="D49" i="43"/>
  <c r="G46" i="24"/>
  <c r="F47" i="24"/>
  <c r="H46" i="24"/>
  <c r="T46" i="24" s="1"/>
  <c r="H45" i="46"/>
  <c r="G45" i="46"/>
  <c r="K45" i="46"/>
  <c r="C46" i="46" s="1"/>
  <c r="F46" i="46" s="1"/>
  <c r="E18" i="43"/>
  <c r="C19" i="43"/>
  <c r="B48" i="24"/>
  <c r="D47" i="24"/>
  <c r="R47" i="24" s="1"/>
  <c r="C47" i="24"/>
  <c r="S9" i="47"/>
  <c r="Q9" i="47"/>
  <c r="R9" i="47" s="1"/>
  <c r="D44" i="41"/>
  <c r="V10" i="47"/>
  <c r="E18" i="41"/>
  <c r="C19" i="41"/>
  <c r="K37" i="47" l="1"/>
  <c r="L37" i="47" s="1"/>
  <c r="M37" i="47" s="1"/>
  <c r="K37" i="26"/>
  <c r="L37" i="26" s="1"/>
  <c r="M37" i="26" s="1"/>
  <c r="Q10" i="47"/>
  <c r="R10" i="47" s="1"/>
  <c r="S10" i="47" s="1"/>
  <c r="N37" i="47"/>
  <c r="G47" i="24"/>
  <c r="F48" i="24"/>
  <c r="H47" i="24"/>
  <c r="T47" i="24" s="1"/>
  <c r="X9" i="47"/>
  <c r="V11" i="47"/>
  <c r="C10" i="44"/>
  <c r="G18" i="43"/>
  <c r="J18" i="43" s="1"/>
  <c r="J19" i="43" s="1"/>
  <c r="F18" i="43"/>
  <c r="D45" i="41"/>
  <c r="D50" i="43"/>
  <c r="C20" i="41"/>
  <c r="C10" i="42"/>
  <c r="G18" i="41"/>
  <c r="J18" i="41" s="1"/>
  <c r="J19" i="41" s="1"/>
  <c r="F18" i="41"/>
  <c r="B49" i="24"/>
  <c r="D48" i="24"/>
  <c r="R48" i="24" s="1"/>
  <c r="C48" i="24"/>
  <c r="G46" i="46"/>
  <c r="H46" i="46"/>
  <c r="K46" i="46"/>
  <c r="C47" i="46" s="1"/>
  <c r="F47" i="46" s="1"/>
  <c r="D48" i="46"/>
  <c r="L48" i="46" s="1"/>
  <c r="E47" i="46"/>
  <c r="Q11" i="47" l="1"/>
  <c r="R11" i="47" s="1"/>
  <c r="S11" i="47"/>
  <c r="K38" i="26"/>
  <c r="L38" i="26" s="1"/>
  <c r="M38" i="26" s="1"/>
  <c r="K38" i="47"/>
  <c r="L38" i="47" s="1"/>
  <c r="M38" i="47" s="1"/>
  <c r="X10" i="47"/>
  <c r="D51" i="43"/>
  <c r="X11" i="47"/>
  <c r="V12" i="47"/>
  <c r="T10" i="47"/>
  <c r="T11" i="47" s="1"/>
  <c r="B50" i="24"/>
  <c r="D49" i="24"/>
  <c r="R49" i="24" s="1"/>
  <c r="C49" i="24"/>
  <c r="D46" i="41"/>
  <c r="K18" i="41"/>
  <c r="C21" i="41"/>
  <c r="K18" i="43"/>
  <c r="C21" i="43"/>
  <c r="D49" i="46"/>
  <c r="E48" i="46"/>
  <c r="D10" i="44"/>
  <c r="F10" i="44" s="1"/>
  <c r="J20" i="43"/>
  <c r="G10" i="44" s="1"/>
  <c r="G48" i="24"/>
  <c r="F49" i="24"/>
  <c r="H48" i="24"/>
  <c r="T48" i="24" s="1"/>
  <c r="J20" i="41"/>
  <c r="G10" i="42" s="1"/>
  <c r="D10" i="42"/>
  <c r="F10" i="42" s="1"/>
  <c r="G47" i="46"/>
  <c r="H47" i="46"/>
  <c r="K47" i="46"/>
  <c r="C48" i="46" s="1"/>
  <c r="F48" i="46" s="1"/>
  <c r="C20" i="43"/>
  <c r="K39" i="47" l="1"/>
  <c r="L39" i="47" s="1"/>
  <c r="M39" i="47" s="1"/>
  <c r="K39" i="26"/>
  <c r="L39" i="26" s="1"/>
  <c r="M39" i="26" s="1"/>
  <c r="E21" i="41"/>
  <c r="E49" i="46"/>
  <c r="D50" i="46"/>
  <c r="N38" i="47"/>
  <c r="N39" i="47" s="1"/>
  <c r="L49" i="46"/>
  <c r="L50" i="46" s="1"/>
  <c r="H48" i="46"/>
  <c r="G48" i="46"/>
  <c r="K48" i="46"/>
  <c r="C49" i="46" s="1"/>
  <c r="F49" i="46" s="1"/>
  <c r="D49" i="41"/>
  <c r="V13" i="47"/>
  <c r="F50" i="24"/>
  <c r="G49" i="24"/>
  <c r="H49" i="24"/>
  <c r="T49" i="24" s="1"/>
  <c r="D52" i="43"/>
  <c r="Q12" i="47"/>
  <c r="R12" i="47" s="1"/>
  <c r="S12" i="47" s="1"/>
  <c r="E21" i="43"/>
  <c r="B51" i="24"/>
  <c r="C50" i="24"/>
  <c r="D50" i="24"/>
  <c r="R50" i="24" s="1"/>
  <c r="K40" i="26" l="1"/>
  <c r="L40" i="26" s="1"/>
  <c r="M40" i="26" s="1"/>
  <c r="Q13" i="47"/>
  <c r="R13" i="47" s="1"/>
  <c r="S13" i="47" s="1"/>
  <c r="K40" i="47"/>
  <c r="L40" i="47" s="1"/>
  <c r="M40" i="47" s="1"/>
  <c r="N40" i="47"/>
  <c r="X12" i="47"/>
  <c r="E50" i="46"/>
  <c r="D51" i="46"/>
  <c r="T12" i="47"/>
  <c r="D50" i="41"/>
  <c r="B52" i="24"/>
  <c r="C51" i="24"/>
  <c r="D51" i="24"/>
  <c r="R51" i="24" s="1"/>
  <c r="D53" i="43"/>
  <c r="V14" i="47"/>
  <c r="H21" i="43"/>
  <c r="J21" i="43" s="1"/>
  <c r="F21" i="43"/>
  <c r="L51" i="46"/>
  <c r="H49" i="46"/>
  <c r="G49" i="46"/>
  <c r="K49" i="46"/>
  <c r="C50" i="46" s="1"/>
  <c r="F50" i="46" s="1"/>
  <c r="H21" i="41"/>
  <c r="J21" i="41" s="1"/>
  <c r="F21" i="41"/>
  <c r="F51" i="24"/>
  <c r="H50" i="24"/>
  <c r="T50" i="24" s="1"/>
  <c r="G50" i="24"/>
  <c r="Q14" i="47" l="1"/>
  <c r="R14" i="47" s="1"/>
  <c r="S14" i="47"/>
  <c r="K41" i="47"/>
  <c r="L41" i="47" s="1"/>
  <c r="M41" i="47" s="1"/>
  <c r="K41" i="26"/>
  <c r="L41" i="26" s="1"/>
  <c r="M41" i="26" s="1"/>
  <c r="N41" i="47"/>
  <c r="B53" i="24"/>
  <c r="C52" i="24"/>
  <c r="D52" i="24"/>
  <c r="R52" i="24" s="1"/>
  <c r="K21" i="43"/>
  <c r="C22" i="43"/>
  <c r="X13" i="47"/>
  <c r="T13" i="47"/>
  <c r="T14" i="47" s="1"/>
  <c r="G50" i="46"/>
  <c r="H50" i="46"/>
  <c r="K50" i="46"/>
  <c r="C51" i="46" s="1"/>
  <c r="F51" i="46" s="1"/>
  <c r="D52" i="46"/>
  <c r="E52" i="46" s="1"/>
  <c r="E51" i="46"/>
  <c r="F52" i="24"/>
  <c r="G51" i="24"/>
  <c r="H51" i="24"/>
  <c r="T51" i="24" s="1"/>
  <c r="K21" i="41"/>
  <c r="C22" i="41"/>
  <c r="D51" i="41"/>
  <c r="V15" i="47"/>
  <c r="X14" i="47"/>
  <c r="D54" i="43"/>
  <c r="K42" i="26" l="1"/>
  <c r="L42" i="26" s="1"/>
  <c r="M42" i="26" s="1"/>
  <c r="K42" i="47"/>
  <c r="L42" i="47" s="1"/>
  <c r="M42" i="47"/>
  <c r="D52" i="41"/>
  <c r="L52" i="46"/>
  <c r="E22" i="43"/>
  <c r="F53" i="24"/>
  <c r="G52" i="24"/>
  <c r="H52" i="24"/>
  <c r="T52" i="24" s="1"/>
  <c r="E22" i="41"/>
  <c r="G51" i="46"/>
  <c r="H51" i="46"/>
  <c r="K51" i="46"/>
  <c r="C52" i="46" s="1"/>
  <c r="F52" i="46" s="1"/>
  <c r="V16" i="47"/>
  <c r="N42" i="47"/>
  <c r="D55" i="43"/>
  <c r="Q15" i="47"/>
  <c r="R15" i="47" s="1"/>
  <c r="S15" i="47" s="1"/>
  <c r="T15" i="47"/>
  <c r="B54" i="24"/>
  <c r="D53" i="24"/>
  <c r="R53" i="24" s="1"/>
  <c r="C53" i="24"/>
  <c r="Q16" i="47" l="1"/>
  <c r="R16" i="47" s="1"/>
  <c r="S16" i="47" s="1"/>
  <c r="K43" i="26"/>
  <c r="L43" i="26" s="1"/>
  <c r="M43" i="26" s="1"/>
  <c r="H22" i="41"/>
  <c r="J22" i="41" s="1"/>
  <c r="F22" i="41"/>
  <c r="D56" i="43"/>
  <c r="D53" i="41"/>
  <c r="V17" i="47"/>
  <c r="K43" i="47"/>
  <c r="L43" i="47" s="1"/>
  <c r="M43" i="47" s="1"/>
  <c r="B55" i="24"/>
  <c r="C54" i="24"/>
  <c r="D54" i="24"/>
  <c r="R54" i="24" s="1"/>
  <c r="H52" i="46"/>
  <c r="G52" i="46"/>
  <c r="K52" i="46"/>
  <c r="F54" i="24"/>
  <c r="G53" i="24"/>
  <c r="H53" i="24"/>
  <c r="T53" i="24" s="1"/>
  <c r="X15" i="47"/>
  <c r="T16" i="47"/>
  <c r="H22" i="43"/>
  <c r="J22" i="43" s="1"/>
  <c r="F22" i="43"/>
  <c r="K44" i="26" l="1"/>
  <c r="L44" i="26" s="1"/>
  <c r="M44" i="26" s="1"/>
  <c r="K44" i="47"/>
  <c r="L44" i="47" s="1"/>
  <c r="M44" i="47" s="1"/>
  <c r="Q17" i="47"/>
  <c r="R17" i="47" s="1"/>
  <c r="S17" i="47" s="1"/>
  <c r="F55" i="24"/>
  <c r="H54" i="24"/>
  <c r="T54" i="24" s="1"/>
  <c r="G54" i="24"/>
  <c r="K22" i="41"/>
  <c r="C23" i="41"/>
  <c r="N43" i="47"/>
  <c r="N44" i="47" s="1"/>
  <c r="D57" i="43"/>
  <c r="K22" i="43"/>
  <c r="C23" i="43"/>
  <c r="V18" i="47"/>
  <c r="B56" i="24"/>
  <c r="C55" i="24"/>
  <c r="D55" i="24"/>
  <c r="R55" i="24" s="1"/>
  <c r="X16" i="47"/>
  <c r="M7" i="46"/>
  <c r="Q7" i="46" s="1"/>
  <c r="M9" i="46"/>
  <c r="Q9" i="46" s="1"/>
  <c r="D54" i="41"/>
  <c r="K45" i="47" l="1"/>
  <c r="L45" i="47" s="1"/>
  <c r="M45" i="47" s="1"/>
  <c r="Q18" i="47"/>
  <c r="R18" i="47" s="1"/>
  <c r="S18" i="47" s="1"/>
  <c r="K45" i="26"/>
  <c r="L45" i="26" s="1"/>
  <c r="M45" i="26" s="1"/>
  <c r="F56" i="24"/>
  <c r="G55" i="24"/>
  <c r="H55" i="24"/>
  <c r="T55" i="24" s="1"/>
  <c r="V19" i="47"/>
  <c r="N45" i="47"/>
  <c r="B57" i="24"/>
  <c r="C56" i="24"/>
  <c r="D56" i="24"/>
  <c r="R56" i="24" s="1"/>
  <c r="E23" i="41"/>
  <c r="D55" i="41"/>
  <c r="D58" i="43"/>
  <c r="E23" i="43"/>
  <c r="X17" i="47"/>
  <c r="T17" i="47"/>
  <c r="T18" i="47" s="1"/>
  <c r="Q19" i="47" l="1"/>
  <c r="R19" i="47" s="1"/>
  <c r="S19" i="47"/>
  <c r="K46" i="26"/>
  <c r="L46" i="26" s="1"/>
  <c r="M46" i="26" s="1"/>
  <c r="K46" i="47"/>
  <c r="L46" i="47" s="1"/>
  <c r="M46" i="47"/>
  <c r="F57" i="24"/>
  <c r="G56" i="24"/>
  <c r="H56" i="24"/>
  <c r="T56" i="24" s="1"/>
  <c r="B58" i="24"/>
  <c r="D57" i="24"/>
  <c r="R57" i="24" s="1"/>
  <c r="C57" i="24"/>
  <c r="D59" i="43"/>
  <c r="N46" i="47"/>
  <c r="H23" i="43"/>
  <c r="J23" i="43" s="1"/>
  <c r="F23" i="43"/>
  <c r="D56" i="41"/>
  <c r="T19" i="47"/>
  <c r="X19" i="47"/>
  <c r="V20" i="47"/>
  <c r="X18" i="47"/>
  <c r="H23" i="41"/>
  <c r="J23" i="41" s="1"/>
  <c r="F23" i="41"/>
  <c r="K47" i="26" l="1"/>
  <c r="L47" i="26" s="1"/>
  <c r="M47" i="26" s="1"/>
  <c r="F58" i="24"/>
  <c r="G57" i="24"/>
  <c r="H57" i="24"/>
  <c r="T57" i="24" s="1"/>
  <c r="D60" i="43"/>
  <c r="V21" i="47"/>
  <c r="D57" i="41"/>
  <c r="B59" i="24"/>
  <c r="C58" i="24"/>
  <c r="D58" i="24"/>
  <c r="R58" i="24" s="1"/>
  <c r="Q20" i="47"/>
  <c r="R20" i="47" s="1"/>
  <c r="S20" i="47"/>
  <c r="K47" i="47"/>
  <c r="L47" i="47" s="1"/>
  <c r="M47" i="47" s="1"/>
  <c r="T20" i="47"/>
  <c r="K23" i="41"/>
  <c r="C24" i="41"/>
  <c r="K23" i="43"/>
  <c r="C24" i="43"/>
  <c r="K48" i="47" l="1"/>
  <c r="L48" i="47" s="1"/>
  <c r="M48" i="47" s="1"/>
  <c r="K48" i="26"/>
  <c r="L48" i="26" s="1"/>
  <c r="M48" i="26"/>
  <c r="D63" i="43"/>
  <c r="D58" i="41"/>
  <c r="F59" i="24"/>
  <c r="H58" i="24"/>
  <c r="T58" i="24" s="1"/>
  <c r="G58" i="24"/>
  <c r="B60" i="24"/>
  <c r="C59" i="24"/>
  <c r="D59" i="24"/>
  <c r="R59" i="24" s="1"/>
  <c r="Q21" i="47"/>
  <c r="R21" i="47" s="1"/>
  <c r="S21" i="47" s="1"/>
  <c r="X20" i="47"/>
  <c r="E24" i="43"/>
  <c r="N47" i="47"/>
  <c r="N48" i="47" s="1"/>
  <c r="V22" i="47"/>
  <c r="E24" i="41"/>
  <c r="Q22" i="47" l="1"/>
  <c r="R22" i="47" s="1"/>
  <c r="S22" i="47" s="1"/>
  <c r="K49" i="47"/>
  <c r="L49" i="47" s="1"/>
  <c r="M49" i="47" s="1"/>
  <c r="D59" i="41"/>
  <c r="D64" i="43"/>
  <c r="X21" i="47"/>
  <c r="B61" i="24"/>
  <c r="C60" i="24"/>
  <c r="D60" i="24"/>
  <c r="R60" i="24" s="1"/>
  <c r="K49" i="26"/>
  <c r="L49" i="26" s="1"/>
  <c r="M49" i="26" s="1"/>
  <c r="V23" i="47"/>
  <c r="H24" i="41"/>
  <c r="J24" i="41" s="1"/>
  <c r="F24" i="41"/>
  <c r="T21" i="47"/>
  <c r="T22" i="47" s="1"/>
  <c r="N49" i="47"/>
  <c r="H24" i="43"/>
  <c r="J24" i="43" s="1"/>
  <c r="F24" i="43"/>
  <c r="F60" i="24"/>
  <c r="G59" i="24"/>
  <c r="H59" i="24"/>
  <c r="T59" i="24" s="1"/>
  <c r="K50" i="47" l="1"/>
  <c r="L50" i="47" s="1"/>
  <c r="M50" i="47"/>
  <c r="K50" i="26"/>
  <c r="L50" i="26" s="1"/>
  <c r="M50" i="26" s="1"/>
  <c r="Q23" i="47"/>
  <c r="R23" i="47" s="1"/>
  <c r="S23" i="47" s="1"/>
  <c r="D65" i="43"/>
  <c r="F61" i="24"/>
  <c r="G60" i="24"/>
  <c r="H60" i="24"/>
  <c r="T60" i="24" s="1"/>
  <c r="K24" i="43"/>
  <c r="C25" i="43"/>
  <c r="D60" i="41"/>
  <c r="X22" i="47"/>
  <c r="K24" i="41"/>
  <c r="C25" i="41"/>
  <c r="B62" i="24"/>
  <c r="D61" i="24"/>
  <c r="R61" i="24" s="1"/>
  <c r="C61" i="24"/>
  <c r="V24" i="47"/>
  <c r="N50" i="47"/>
  <c r="Q24" i="47" l="1"/>
  <c r="R24" i="47" s="1"/>
  <c r="S24" i="47" s="1"/>
  <c r="K51" i="26"/>
  <c r="L51" i="26" s="1"/>
  <c r="M51" i="26" s="1"/>
  <c r="D63" i="41"/>
  <c r="E25" i="43"/>
  <c r="E25" i="41"/>
  <c r="N51" i="47"/>
  <c r="V25" i="47"/>
  <c r="T23" i="47"/>
  <c r="T24" i="47" s="1"/>
  <c r="M51" i="47"/>
  <c r="K51" i="47"/>
  <c r="L51" i="47" s="1"/>
  <c r="D66" i="43"/>
  <c r="C62" i="24"/>
  <c r="D62" i="24"/>
  <c r="R62" i="24" s="1"/>
  <c r="X23" i="47"/>
  <c r="F62" i="24"/>
  <c r="G61" i="24"/>
  <c r="H61" i="24"/>
  <c r="T61" i="24" s="1"/>
  <c r="K52" i="26" l="1"/>
  <c r="L52" i="26" s="1"/>
  <c r="M52" i="26" s="1"/>
  <c r="Q25" i="47"/>
  <c r="R25" i="47" s="1"/>
  <c r="S25" i="47"/>
  <c r="T25" i="47"/>
  <c r="H62" i="24"/>
  <c r="T62" i="24" s="1"/>
  <c r="G62" i="24"/>
  <c r="H25" i="43"/>
  <c r="J25" i="43" s="1"/>
  <c r="F25" i="43"/>
  <c r="D64" i="41"/>
  <c r="D67" i="43"/>
  <c r="X25" i="47"/>
  <c r="V26" i="47"/>
  <c r="H25" i="41"/>
  <c r="J25" i="41" s="1"/>
  <c r="F25" i="41"/>
  <c r="X24" i="47"/>
  <c r="K52" i="47"/>
  <c r="L52" i="47" s="1"/>
  <c r="M52" i="47" s="1"/>
  <c r="K53" i="47" l="1"/>
  <c r="L53" i="47" s="1"/>
  <c r="M53" i="47" s="1"/>
  <c r="K53" i="26"/>
  <c r="L53" i="26" s="1"/>
  <c r="M53" i="26" s="1"/>
  <c r="V27" i="47"/>
  <c r="Q26" i="47"/>
  <c r="R26" i="47" s="1"/>
  <c r="S26" i="47" s="1"/>
  <c r="D65" i="41"/>
  <c r="D68" i="43"/>
  <c r="N52" i="47"/>
  <c r="N53" i="47" s="1"/>
  <c r="K25" i="41"/>
  <c r="C26" i="41"/>
  <c r="K25" i="43"/>
  <c r="C26" i="43"/>
  <c r="Q27" i="47" l="1"/>
  <c r="R27" i="47" s="1"/>
  <c r="S27" i="47" s="1"/>
  <c r="K54" i="26"/>
  <c r="L54" i="26" s="1"/>
  <c r="M54" i="26" s="1"/>
  <c r="K54" i="47"/>
  <c r="L54" i="47" s="1"/>
  <c r="M54" i="47" s="1"/>
  <c r="N54" i="47"/>
  <c r="V28" i="47"/>
  <c r="D69" i="43"/>
  <c r="X26" i="47"/>
  <c r="T26" i="47"/>
  <c r="T27" i="47" s="1"/>
  <c r="E26" i="43"/>
  <c r="E26" i="41"/>
  <c r="D66" i="41"/>
  <c r="M55" i="47" l="1"/>
  <c r="K55" i="47"/>
  <c r="L55" i="47" s="1"/>
  <c r="K55" i="26"/>
  <c r="L55" i="26" s="1"/>
  <c r="M55" i="26" s="1"/>
  <c r="Q28" i="47"/>
  <c r="R28" i="47" s="1"/>
  <c r="S28" i="47" s="1"/>
  <c r="N55" i="47"/>
  <c r="X27" i="47"/>
  <c r="H26" i="43"/>
  <c r="J26" i="43" s="1"/>
  <c r="F26" i="43"/>
  <c r="D70" i="43"/>
  <c r="D67" i="41"/>
  <c r="H26" i="41"/>
  <c r="J26" i="41" s="1"/>
  <c r="F26" i="41"/>
  <c r="V29" i="47"/>
  <c r="S29" i="47" l="1"/>
  <c r="Q29" i="47"/>
  <c r="R29" i="47" s="1"/>
  <c r="K56" i="26"/>
  <c r="L56" i="26" s="1"/>
  <c r="M56" i="26" s="1"/>
  <c r="X28" i="47"/>
  <c r="T28" i="47"/>
  <c r="T29" i="47" s="1"/>
  <c r="K26" i="41"/>
  <c r="C27" i="41"/>
  <c r="D68" i="41"/>
  <c r="D71" i="43"/>
  <c r="V30" i="47"/>
  <c r="X29" i="47"/>
  <c r="K26" i="43"/>
  <c r="C27" i="43"/>
  <c r="K56" i="47"/>
  <c r="L56" i="47" s="1"/>
  <c r="M56" i="47" s="1"/>
  <c r="K57" i="47" l="1"/>
  <c r="L57" i="47" s="1"/>
  <c r="M57" i="47" s="1"/>
  <c r="K57" i="26"/>
  <c r="L57" i="26" s="1"/>
  <c r="M57" i="26" s="1"/>
  <c r="V31" i="47"/>
  <c r="D72" i="43"/>
  <c r="N56" i="47"/>
  <c r="N57" i="47" s="1"/>
  <c r="D69" i="41"/>
  <c r="E27" i="43"/>
  <c r="E27" i="41"/>
  <c r="Q30" i="47"/>
  <c r="R30" i="47" s="1"/>
  <c r="S30" i="47" s="1"/>
  <c r="S31" i="47" l="1"/>
  <c r="Q31" i="47"/>
  <c r="R31" i="47" s="1"/>
  <c r="K58" i="26"/>
  <c r="L58" i="26" s="1"/>
  <c r="M58" i="26" s="1"/>
  <c r="K58" i="47"/>
  <c r="L58" i="47" s="1"/>
  <c r="M58" i="47"/>
  <c r="X31" i="47"/>
  <c r="V32" i="47"/>
  <c r="H27" i="43"/>
  <c r="J27" i="43" s="1"/>
  <c r="F27" i="43"/>
  <c r="T30" i="47"/>
  <c r="T31" i="47" s="1"/>
  <c r="D73" i="43"/>
  <c r="H27" i="41"/>
  <c r="J27" i="41" s="1"/>
  <c r="F27" i="41"/>
  <c r="D70" i="41"/>
  <c r="X30" i="47"/>
  <c r="K59" i="26" l="1"/>
  <c r="L59" i="26" s="1"/>
  <c r="M59" i="26" s="1"/>
  <c r="V33" i="47"/>
  <c r="K27" i="41"/>
  <c r="C28" i="41"/>
  <c r="D74" i="43"/>
  <c r="N58" i="47"/>
  <c r="D71" i="41"/>
  <c r="K59" i="47"/>
  <c r="L59" i="47" s="1"/>
  <c r="M59" i="47" s="1"/>
  <c r="K27" i="43"/>
  <c r="C28" i="43"/>
  <c r="Q32" i="47"/>
  <c r="R32" i="47" s="1"/>
  <c r="S32" i="47" s="1"/>
  <c r="K60" i="47" l="1"/>
  <c r="L60" i="47" s="1"/>
  <c r="M60" i="47" s="1"/>
  <c r="Q33" i="47"/>
  <c r="R33" i="47" s="1"/>
  <c r="S33" i="47"/>
  <c r="K60" i="26"/>
  <c r="L60" i="26" s="1"/>
  <c r="M60" i="26" s="1"/>
  <c r="D72" i="41"/>
  <c r="E28" i="41"/>
  <c r="X32" i="47"/>
  <c r="X33" i="47"/>
  <c r="V34" i="47"/>
  <c r="T32" i="47"/>
  <c r="T33" i="47" s="1"/>
  <c r="E28" i="43"/>
  <c r="N59" i="47"/>
  <c r="K61" i="47" l="1"/>
  <c r="L61" i="47" s="1"/>
  <c r="M61" i="47" s="1"/>
  <c r="K61" i="26"/>
  <c r="L61" i="26" s="1"/>
  <c r="M61" i="26" s="1"/>
  <c r="D73" i="41"/>
  <c r="V35" i="47"/>
  <c r="H28" i="43"/>
  <c r="J28" i="43" s="1"/>
  <c r="F28" i="43"/>
  <c r="Q34" i="47"/>
  <c r="R34" i="47" s="1"/>
  <c r="S34" i="47" s="1"/>
  <c r="N60" i="47"/>
  <c r="N61" i="47" s="1"/>
  <c r="H28" i="41"/>
  <c r="J28" i="41" s="1"/>
  <c r="F28" i="41"/>
  <c r="Q35" i="47" l="1"/>
  <c r="R35" i="47" s="1"/>
  <c r="S35" i="47" s="1"/>
  <c r="K62" i="26"/>
  <c r="L62" i="26" s="1"/>
  <c r="M62" i="26" s="1"/>
  <c r="K62" i="47"/>
  <c r="L62" i="47" s="1"/>
  <c r="M62" i="47" s="1"/>
  <c r="X34" i="47"/>
  <c r="T34" i="47"/>
  <c r="T35" i="47" s="1"/>
  <c r="V36" i="47"/>
  <c r="D74" i="41"/>
  <c r="K28" i="43"/>
  <c r="C29" i="43"/>
  <c r="K28" i="41"/>
  <c r="C29" i="41"/>
  <c r="K63" i="47" l="1"/>
  <c r="L63" i="47" s="1"/>
  <c r="M63" i="47" s="1"/>
  <c r="K63" i="26"/>
  <c r="L63" i="26" s="1"/>
  <c r="M63" i="26" s="1"/>
  <c r="F5" i="26"/>
  <c r="Q36" i="47"/>
  <c r="R36" i="47" s="1"/>
  <c r="S36" i="47" s="1"/>
  <c r="E29" i="43"/>
  <c r="X35" i="47"/>
  <c r="N62" i="47"/>
  <c r="N63" i="47" s="1"/>
  <c r="E29" i="41"/>
  <c r="V37" i="47"/>
  <c r="Q37" i="47" l="1"/>
  <c r="R37" i="47" s="1"/>
  <c r="S37" i="47" s="1"/>
  <c r="K64" i="26"/>
  <c r="L64" i="26" s="1"/>
  <c r="M64" i="26"/>
  <c r="K64" i="47"/>
  <c r="L64" i="47" s="1"/>
  <c r="M64" i="47" s="1"/>
  <c r="H29" i="43"/>
  <c r="J29" i="43" s="1"/>
  <c r="F29" i="43"/>
  <c r="H29" i="41"/>
  <c r="J29" i="41" s="1"/>
  <c r="F29" i="41"/>
  <c r="T36" i="47"/>
  <c r="T37" i="47" s="1"/>
  <c r="F12" i="26"/>
  <c r="F6" i="26"/>
  <c r="V38" i="47"/>
  <c r="X36" i="47"/>
  <c r="K65" i="47" l="1"/>
  <c r="L65" i="47" s="1"/>
  <c r="M65" i="47" s="1"/>
  <c r="Q38" i="47"/>
  <c r="R38" i="47" s="1"/>
  <c r="S38" i="47" s="1"/>
  <c r="X37" i="47"/>
  <c r="K29" i="43"/>
  <c r="C30" i="43"/>
  <c r="K65" i="26"/>
  <c r="L65" i="26" s="1"/>
  <c r="M65" i="26" s="1"/>
  <c r="V39" i="47"/>
  <c r="F13" i="26"/>
  <c r="F14" i="26" s="1"/>
  <c r="F18" i="26"/>
  <c r="T38" i="47"/>
  <c r="N64" i="47"/>
  <c r="N65" i="47" s="1"/>
  <c r="K29" i="41"/>
  <c r="C30" i="41"/>
  <c r="K66" i="26" l="1"/>
  <c r="L66" i="26" s="1"/>
  <c r="M66" i="26" s="1"/>
  <c r="Q39" i="47"/>
  <c r="R39" i="47" s="1"/>
  <c r="S39" i="47" s="1"/>
  <c r="K66" i="47"/>
  <c r="L66" i="47" s="1"/>
  <c r="M66" i="47"/>
  <c r="N66" i="47"/>
  <c r="V40" i="47"/>
  <c r="E30" i="43"/>
  <c r="X38" i="47"/>
  <c r="E30" i="41"/>
  <c r="T39" i="47"/>
  <c r="K67" i="26" l="1"/>
  <c r="L67" i="26" s="1"/>
  <c r="M67" i="26" s="1"/>
  <c r="Q40" i="47"/>
  <c r="R40" i="47" s="1"/>
  <c r="S40" i="47" s="1"/>
  <c r="H30" i="41"/>
  <c r="J30" i="41" s="1"/>
  <c r="F30" i="41"/>
  <c r="H30" i="43"/>
  <c r="J30" i="43" s="1"/>
  <c r="F30" i="43"/>
  <c r="X39" i="47"/>
  <c r="K67" i="47"/>
  <c r="L67" i="47" s="1"/>
  <c r="M67" i="47" s="1"/>
  <c r="V41" i="47"/>
  <c r="K68" i="47" l="1"/>
  <c r="L68" i="47" s="1"/>
  <c r="M68" i="47" s="1"/>
  <c r="Q41" i="47"/>
  <c r="R41" i="47" s="1"/>
  <c r="S41" i="47"/>
  <c r="K68" i="26"/>
  <c r="L68" i="26" s="1"/>
  <c r="M68" i="26" s="1"/>
  <c r="K30" i="41"/>
  <c r="C31" i="41"/>
  <c r="X40" i="47"/>
  <c r="T40" i="47"/>
  <c r="T41" i="47" s="1"/>
  <c r="X41" i="47"/>
  <c r="V42" i="47"/>
  <c r="N67" i="47"/>
  <c r="N68" i="47" s="1"/>
  <c r="K30" i="43"/>
  <c r="C31" i="43"/>
  <c r="K69" i="47" l="1"/>
  <c r="L69" i="47" s="1"/>
  <c r="M69" i="47" s="1"/>
  <c r="K69" i="26"/>
  <c r="L69" i="26" s="1"/>
  <c r="M69" i="26" s="1"/>
  <c r="N69" i="47"/>
  <c r="Q42" i="47"/>
  <c r="R42" i="47" s="1"/>
  <c r="S42" i="47" s="1"/>
  <c r="V43" i="47"/>
  <c r="E31" i="43"/>
  <c r="E31" i="41"/>
  <c r="Q43" i="47" l="1"/>
  <c r="R43" i="47" s="1"/>
  <c r="S43" i="47" s="1"/>
  <c r="K70" i="47"/>
  <c r="L70" i="47" s="1"/>
  <c r="M70" i="47"/>
  <c r="K70" i="26"/>
  <c r="L70" i="26" s="1"/>
  <c r="M70" i="26" s="1"/>
  <c r="V44" i="47"/>
  <c r="H31" i="41"/>
  <c r="J31" i="41" s="1"/>
  <c r="F31" i="41"/>
  <c r="H31" i="43"/>
  <c r="J31" i="43" s="1"/>
  <c r="F31" i="43"/>
  <c r="T42" i="47"/>
  <c r="T43" i="47" s="1"/>
  <c r="X42" i="47"/>
  <c r="K71" i="26" l="1"/>
  <c r="L71" i="26" s="1"/>
  <c r="M71" i="26" s="1"/>
  <c r="Q44" i="47"/>
  <c r="R44" i="47" s="1"/>
  <c r="S44" i="47" s="1"/>
  <c r="X43" i="47"/>
  <c r="K71" i="47"/>
  <c r="L71" i="47" s="1"/>
  <c r="M71" i="47" s="1"/>
  <c r="K31" i="41"/>
  <c r="C32" i="41"/>
  <c r="V45" i="47"/>
  <c r="T44" i="47"/>
  <c r="K31" i="43"/>
  <c r="C32" i="43"/>
  <c r="N70" i="47"/>
  <c r="Q45" i="47" l="1"/>
  <c r="R45" i="47" s="1"/>
  <c r="S45" i="47"/>
  <c r="K72" i="47"/>
  <c r="L72" i="47" s="1"/>
  <c r="M72" i="47" s="1"/>
  <c r="K72" i="26"/>
  <c r="L72" i="26" s="1"/>
  <c r="M72" i="26" s="1"/>
  <c r="E32" i="43"/>
  <c r="C33" i="43"/>
  <c r="X45" i="47"/>
  <c r="V46" i="47"/>
  <c r="X44" i="47"/>
  <c r="E32" i="41"/>
  <c r="C33" i="41"/>
  <c r="T45" i="47"/>
  <c r="N71" i="47"/>
  <c r="K73" i="26" l="1"/>
  <c r="L73" i="26" s="1"/>
  <c r="M73" i="26" s="1"/>
  <c r="K73" i="47"/>
  <c r="L73" i="47" s="1"/>
  <c r="M73" i="47" s="1"/>
  <c r="T46" i="47"/>
  <c r="H32" i="43"/>
  <c r="J32" i="43" s="1"/>
  <c r="J33" i="43" s="1"/>
  <c r="F32" i="43"/>
  <c r="S46" i="47"/>
  <c r="Q46" i="47"/>
  <c r="R46" i="47" s="1"/>
  <c r="C11" i="42"/>
  <c r="H32" i="41"/>
  <c r="J32" i="41" s="1"/>
  <c r="J33" i="41" s="1"/>
  <c r="F32" i="41"/>
  <c r="V47" i="47"/>
  <c r="X46" i="47"/>
  <c r="N72" i="47"/>
  <c r="N73" i="47" s="1"/>
  <c r="C11" i="44"/>
  <c r="K74" i="47" l="1"/>
  <c r="L74" i="47" s="1"/>
  <c r="M74" i="47" s="1"/>
  <c r="K74" i="26"/>
  <c r="L74" i="26" s="1"/>
  <c r="M74" i="26" s="1"/>
  <c r="Q47" i="47"/>
  <c r="R47" i="47" s="1"/>
  <c r="S47" i="47" s="1"/>
  <c r="J34" i="41"/>
  <c r="G11" i="42" s="1"/>
  <c r="E11" i="42"/>
  <c r="F11" i="42" s="1"/>
  <c r="J34" i="43"/>
  <c r="G11" i="44" s="1"/>
  <c r="E11" i="44"/>
  <c r="F11" i="44" s="1"/>
  <c r="K32" i="43"/>
  <c r="C35" i="43"/>
  <c r="T47" i="47"/>
  <c r="C34" i="41"/>
  <c r="V48" i="47"/>
  <c r="K32" i="41"/>
  <c r="C35" i="41"/>
  <c r="C34" i="43"/>
  <c r="K75" i="26" l="1"/>
  <c r="L75" i="26" s="1"/>
  <c r="M75" i="26" s="1"/>
  <c r="Q48" i="47"/>
  <c r="R48" i="47" s="1"/>
  <c r="S48" i="47" s="1"/>
  <c r="K75" i="47"/>
  <c r="L75" i="47" s="1"/>
  <c r="M75" i="47" s="1"/>
  <c r="T48" i="47"/>
  <c r="E35" i="43"/>
  <c r="E35" i="41"/>
  <c r="N74" i="47"/>
  <c r="N75" i="47" s="1"/>
  <c r="V49" i="47"/>
  <c r="X47" i="47"/>
  <c r="M76" i="26" l="1"/>
  <c r="K76" i="26"/>
  <c r="L76" i="26" s="1"/>
  <c r="K76" i="47"/>
  <c r="L76" i="47" s="1"/>
  <c r="M76" i="47" s="1"/>
  <c r="Q49" i="47"/>
  <c r="R49" i="47" s="1"/>
  <c r="S49" i="47" s="1"/>
  <c r="X48" i="47"/>
  <c r="T49" i="47"/>
  <c r="N76" i="47"/>
  <c r="H35" i="41"/>
  <c r="J35" i="41" s="1"/>
  <c r="F35" i="41"/>
  <c r="H35" i="43"/>
  <c r="J35" i="43" s="1"/>
  <c r="F35" i="43"/>
  <c r="V50" i="47"/>
  <c r="Q50" i="47" l="1"/>
  <c r="R50" i="47" s="1"/>
  <c r="S50" i="47" s="1"/>
  <c r="K77" i="47"/>
  <c r="L77" i="47" s="1"/>
  <c r="M77" i="47" s="1"/>
  <c r="V51" i="47"/>
  <c r="T50" i="47"/>
  <c r="K35" i="43"/>
  <c r="C36" i="43"/>
  <c r="K35" i="41"/>
  <c r="C36" i="41"/>
  <c r="X49" i="47"/>
  <c r="K77" i="26"/>
  <c r="L77" i="26" s="1"/>
  <c r="M77" i="26" s="1"/>
  <c r="K78" i="26" l="1"/>
  <c r="L78" i="26" s="1"/>
  <c r="M78" i="26" s="1"/>
  <c r="Q51" i="47"/>
  <c r="R51" i="47" s="1"/>
  <c r="S51" i="47" s="1"/>
  <c r="K78" i="47"/>
  <c r="L78" i="47" s="1"/>
  <c r="M78" i="47" s="1"/>
  <c r="E36" i="41"/>
  <c r="V52" i="47"/>
  <c r="E36" i="43"/>
  <c r="T51" i="47"/>
  <c r="X50" i="47"/>
  <c r="N77" i="47"/>
  <c r="K79" i="47" l="1"/>
  <c r="L79" i="47" s="1"/>
  <c r="M79" i="47" s="1"/>
  <c r="Q52" i="47"/>
  <c r="R52" i="47" s="1"/>
  <c r="S52" i="47" s="1"/>
  <c r="K79" i="26"/>
  <c r="L79" i="26" s="1"/>
  <c r="M79" i="26" s="1"/>
  <c r="T52" i="47"/>
  <c r="H36" i="41"/>
  <c r="J36" i="41" s="1"/>
  <c r="F36" i="41"/>
  <c r="V53" i="47"/>
  <c r="X51" i="47"/>
  <c r="H36" i="43"/>
  <c r="J36" i="43" s="1"/>
  <c r="F36" i="43"/>
  <c r="N78" i="47"/>
  <c r="N79" i="47" s="1"/>
  <c r="K80" i="26" l="1"/>
  <c r="L80" i="26" s="1"/>
  <c r="M80" i="26"/>
  <c r="Q53" i="47"/>
  <c r="R53" i="47" s="1"/>
  <c r="S53" i="47"/>
  <c r="K80" i="47"/>
  <c r="L80" i="47" s="1"/>
  <c r="M80" i="47" s="1"/>
  <c r="T53" i="47"/>
  <c r="K36" i="43"/>
  <c r="C37" i="43"/>
  <c r="X53" i="47"/>
  <c r="V54" i="47"/>
  <c r="X52" i="47"/>
  <c r="K36" i="41"/>
  <c r="C37" i="41"/>
  <c r="M81" i="47" l="1"/>
  <c r="K81" i="47"/>
  <c r="L81" i="47" s="1"/>
  <c r="V55" i="47"/>
  <c r="E37" i="43"/>
  <c r="K81" i="26"/>
  <c r="L81" i="26" s="1"/>
  <c r="M81" i="26" s="1"/>
  <c r="Q54" i="47"/>
  <c r="R54" i="47" s="1"/>
  <c r="S54" i="47" s="1"/>
  <c r="E37" i="41"/>
  <c r="N80" i="47"/>
  <c r="N81" i="47" s="1"/>
  <c r="K82" i="26" l="1"/>
  <c r="L82" i="26" s="1"/>
  <c r="M82" i="26" s="1"/>
  <c r="Q55" i="47"/>
  <c r="R55" i="47" s="1"/>
  <c r="S55" i="47" s="1"/>
  <c r="K82" i="47"/>
  <c r="L82" i="47" s="1"/>
  <c r="M82" i="47"/>
  <c r="N82" i="47"/>
  <c r="H37" i="43"/>
  <c r="J37" i="43" s="1"/>
  <c r="F37" i="43"/>
  <c r="X54" i="47"/>
  <c r="V56" i="47"/>
  <c r="H37" i="41"/>
  <c r="J37" i="41" s="1"/>
  <c r="F37" i="41"/>
  <c r="T54" i="47"/>
  <c r="T55" i="47" s="1"/>
  <c r="S56" i="47" l="1"/>
  <c r="Q56" i="47"/>
  <c r="R56" i="47" s="1"/>
  <c r="M83" i="26"/>
  <c r="K83" i="26"/>
  <c r="L83" i="26" s="1"/>
  <c r="T56" i="47"/>
  <c r="X55" i="47"/>
  <c r="K37" i="41"/>
  <c r="C38" i="41"/>
  <c r="K83" i="47"/>
  <c r="L83" i="47" s="1"/>
  <c r="M83" i="47" s="1"/>
  <c r="X56" i="47"/>
  <c r="V57" i="47"/>
  <c r="K37" i="43"/>
  <c r="C38" i="43"/>
  <c r="K84" i="47" l="1"/>
  <c r="L84" i="47" s="1"/>
  <c r="M84" i="47" s="1"/>
  <c r="N83" i="47"/>
  <c r="N84" i="47" s="1"/>
  <c r="E38" i="41"/>
  <c r="Q57" i="47"/>
  <c r="R57" i="47" s="1"/>
  <c r="S57" i="47"/>
  <c r="V58" i="47"/>
  <c r="E38" i="43"/>
  <c r="K84" i="26"/>
  <c r="L84" i="26" s="1"/>
  <c r="M84" i="26" s="1"/>
  <c r="K85" i="26" l="1"/>
  <c r="L85" i="26" s="1"/>
  <c r="M85" i="26" s="1"/>
  <c r="K85" i="47"/>
  <c r="L85" i="47" s="1"/>
  <c r="M85" i="47" s="1"/>
  <c r="Q58" i="47"/>
  <c r="R58" i="47" s="1"/>
  <c r="S58" i="47" s="1"/>
  <c r="H38" i="43"/>
  <c r="J38" i="43" s="1"/>
  <c r="F38" i="43"/>
  <c r="H38" i="41"/>
  <c r="J38" i="41" s="1"/>
  <c r="F38" i="41"/>
  <c r="T57" i="47"/>
  <c r="T58" i="47" s="1"/>
  <c r="V59" i="47"/>
  <c r="X57" i="47"/>
  <c r="K86" i="47" l="1"/>
  <c r="L86" i="47" s="1"/>
  <c r="M86" i="47"/>
  <c r="Q59" i="47"/>
  <c r="R59" i="47" s="1"/>
  <c r="S59" i="47" s="1"/>
  <c r="K86" i="26"/>
  <c r="L86" i="26" s="1"/>
  <c r="M86" i="26" s="1"/>
  <c r="K38" i="43"/>
  <c r="C39" i="43"/>
  <c r="X58" i="47"/>
  <c r="K38" i="41"/>
  <c r="C39" i="41"/>
  <c r="V60" i="47"/>
  <c r="N85" i="47"/>
  <c r="N86" i="47" s="1"/>
  <c r="K87" i="26" l="1"/>
  <c r="L87" i="26" s="1"/>
  <c r="M87" i="26" s="1"/>
  <c r="Q60" i="47"/>
  <c r="R60" i="47" s="1"/>
  <c r="S60" i="47" s="1"/>
  <c r="X59" i="47"/>
  <c r="T59" i="47"/>
  <c r="T60" i="47" s="1"/>
  <c r="K87" i="47"/>
  <c r="L87" i="47" s="1"/>
  <c r="M87" i="47" s="1"/>
  <c r="V61" i="47"/>
  <c r="E39" i="41"/>
  <c r="E39" i="43"/>
  <c r="K88" i="47" l="1"/>
  <c r="L88" i="47" s="1"/>
  <c r="M88" i="47" s="1"/>
  <c r="Q61" i="47"/>
  <c r="R61" i="47" s="1"/>
  <c r="S61" i="47"/>
  <c r="K88" i="26"/>
  <c r="L88" i="26" s="1"/>
  <c r="M88" i="26"/>
  <c r="N87" i="47"/>
  <c r="N88" i="47" s="1"/>
  <c r="H39" i="41"/>
  <c r="J39" i="41" s="1"/>
  <c r="F39" i="41"/>
  <c r="X61" i="47"/>
  <c r="V62" i="47"/>
  <c r="H39" i="43"/>
  <c r="J39" i="43" s="1"/>
  <c r="F39" i="43"/>
  <c r="X60" i="47"/>
  <c r="K89" i="47" l="1"/>
  <c r="L89" i="47" s="1"/>
  <c r="M89" i="47" s="1"/>
  <c r="K89" i="26"/>
  <c r="L89" i="26" s="1"/>
  <c r="M89" i="26" s="1"/>
  <c r="N89" i="47"/>
  <c r="V63" i="47"/>
  <c r="K39" i="43"/>
  <c r="C40" i="43"/>
  <c r="Q62" i="47"/>
  <c r="R62" i="47" s="1"/>
  <c r="S62" i="47" s="1"/>
  <c r="T61" i="47"/>
  <c r="T62" i="47" s="1"/>
  <c r="K39" i="41"/>
  <c r="C40" i="41"/>
  <c r="Q63" i="47" l="1"/>
  <c r="R63" i="47" s="1"/>
  <c r="S63" i="47" s="1"/>
  <c r="K90" i="26"/>
  <c r="L90" i="26" s="1"/>
  <c r="M90" i="26" s="1"/>
  <c r="K90" i="47"/>
  <c r="L90" i="47" s="1"/>
  <c r="M90" i="47" s="1"/>
  <c r="N90" i="47"/>
  <c r="E40" i="41"/>
  <c r="V64" i="47"/>
  <c r="X62" i="47"/>
  <c r="T63" i="47"/>
  <c r="E40" i="43"/>
  <c r="K91" i="26" l="1"/>
  <c r="L91" i="26" s="1"/>
  <c r="M91" i="26" s="1"/>
  <c r="K91" i="47"/>
  <c r="L91" i="47" s="1"/>
  <c r="M91" i="47" s="1"/>
  <c r="Q64" i="47"/>
  <c r="R64" i="47" s="1"/>
  <c r="S64" i="47" s="1"/>
  <c r="N91" i="47"/>
  <c r="V65" i="47"/>
  <c r="H40" i="43"/>
  <c r="J40" i="43" s="1"/>
  <c r="F40" i="43"/>
  <c r="X63" i="47"/>
  <c r="H40" i="41"/>
  <c r="J40" i="41" s="1"/>
  <c r="F40" i="41"/>
  <c r="K92" i="47" l="1"/>
  <c r="L92" i="47" s="1"/>
  <c r="M92" i="47" s="1"/>
  <c r="Q65" i="47"/>
  <c r="R65" i="47" s="1"/>
  <c r="S65" i="47" s="1"/>
  <c r="K92" i="26"/>
  <c r="L92" i="26" s="1"/>
  <c r="M92" i="26" s="1"/>
  <c r="N92" i="47"/>
  <c r="T64" i="47"/>
  <c r="T65" i="47" s="1"/>
  <c r="X64" i="47"/>
  <c r="K40" i="43"/>
  <c r="C41" i="43"/>
  <c r="K40" i="41"/>
  <c r="C41" i="41"/>
  <c r="V66" i="47"/>
  <c r="K93" i="26" l="1"/>
  <c r="L93" i="26" s="1"/>
  <c r="M93" i="26" s="1"/>
  <c r="Q66" i="47"/>
  <c r="R66" i="47" s="1"/>
  <c r="S66" i="47" s="1"/>
  <c r="K93" i="47"/>
  <c r="L93" i="47" s="1"/>
  <c r="M93" i="47" s="1"/>
  <c r="E41" i="41"/>
  <c r="X65" i="47"/>
  <c r="E41" i="43"/>
  <c r="V67" i="47"/>
  <c r="K94" i="47" l="1"/>
  <c r="L94" i="47" s="1"/>
  <c r="M94" i="47" s="1"/>
  <c r="Q67" i="47"/>
  <c r="R67" i="47" s="1"/>
  <c r="S67" i="47" s="1"/>
  <c r="K94" i="26"/>
  <c r="L94" i="26" s="1"/>
  <c r="M94" i="26" s="1"/>
  <c r="X66" i="47"/>
  <c r="V68" i="47"/>
  <c r="H41" i="41"/>
  <c r="J41" i="41" s="1"/>
  <c r="F41" i="41"/>
  <c r="H41" i="43"/>
  <c r="J41" i="43" s="1"/>
  <c r="F41" i="43"/>
  <c r="T66" i="47"/>
  <c r="T67" i="47" s="1"/>
  <c r="N93" i="47"/>
  <c r="N94" i="47" s="1"/>
  <c r="M95" i="47" l="1"/>
  <c r="K95" i="47"/>
  <c r="L95" i="47" s="1"/>
  <c r="M95" i="26"/>
  <c r="K95" i="26"/>
  <c r="L95" i="26" s="1"/>
  <c r="Q68" i="47"/>
  <c r="R68" i="47" s="1"/>
  <c r="S68" i="47" s="1"/>
  <c r="N95" i="47"/>
  <c r="K41" i="41"/>
  <c r="C42" i="41"/>
  <c r="T68" i="47"/>
  <c r="X67" i="47"/>
  <c r="K41" i="43"/>
  <c r="C42" i="43"/>
  <c r="V69" i="47"/>
  <c r="Q69" i="47" l="1"/>
  <c r="R69" i="47" s="1"/>
  <c r="S69" i="47" s="1"/>
  <c r="X68" i="47"/>
  <c r="K96" i="47"/>
  <c r="L96" i="47" s="1"/>
  <c r="M96" i="47" s="1"/>
  <c r="E42" i="43"/>
  <c r="V70" i="47"/>
  <c r="T69" i="47"/>
  <c r="K96" i="26"/>
  <c r="L96" i="26" s="1"/>
  <c r="M96" i="26"/>
  <c r="E42" i="41"/>
  <c r="K97" i="47" l="1"/>
  <c r="L97" i="47" s="1"/>
  <c r="M97" i="47" s="1"/>
  <c r="Q70" i="47"/>
  <c r="R70" i="47" s="1"/>
  <c r="S70" i="47" s="1"/>
  <c r="H42" i="43"/>
  <c r="J42" i="43" s="1"/>
  <c r="F42" i="43"/>
  <c r="H42" i="41"/>
  <c r="J42" i="41" s="1"/>
  <c r="F42" i="41"/>
  <c r="M97" i="26"/>
  <c r="K97" i="26"/>
  <c r="L97" i="26" s="1"/>
  <c r="N96" i="47"/>
  <c r="T70" i="47"/>
  <c r="V71" i="47"/>
  <c r="X69" i="47"/>
  <c r="Q71" i="47" l="1"/>
  <c r="R71" i="47" s="1"/>
  <c r="S71" i="47" s="1"/>
  <c r="K98" i="47"/>
  <c r="L98" i="47" s="1"/>
  <c r="M98" i="47" s="1"/>
  <c r="K42" i="41"/>
  <c r="C43" i="41"/>
  <c r="K42" i="43"/>
  <c r="C43" i="43"/>
  <c r="T71" i="47"/>
  <c r="K98" i="26"/>
  <c r="L98" i="26" s="1"/>
  <c r="M98" i="26" s="1"/>
  <c r="N97" i="47"/>
  <c r="N98" i="47" s="1"/>
  <c r="X70" i="47"/>
  <c r="V72" i="47"/>
  <c r="K99" i="47" l="1"/>
  <c r="L99" i="47" s="1"/>
  <c r="M99" i="47" s="1"/>
  <c r="K99" i="26"/>
  <c r="L99" i="26" s="1"/>
  <c r="M99" i="26" s="1"/>
  <c r="Q72" i="47"/>
  <c r="R72" i="47" s="1"/>
  <c r="S72" i="47" s="1"/>
  <c r="E43" i="41"/>
  <c r="E43" i="43"/>
  <c r="X71" i="47"/>
  <c r="N99" i="47"/>
  <c r="V73" i="47"/>
  <c r="Q73" i="47" l="1"/>
  <c r="R73" i="47" s="1"/>
  <c r="S73" i="47"/>
  <c r="K100" i="26"/>
  <c r="L100" i="26" s="1"/>
  <c r="M100" i="26" s="1"/>
  <c r="K100" i="47"/>
  <c r="L100" i="47" s="1"/>
  <c r="M100" i="47" s="1"/>
  <c r="H43" i="41"/>
  <c r="J43" i="41" s="1"/>
  <c r="F43" i="41"/>
  <c r="X73" i="47"/>
  <c r="V74" i="47"/>
  <c r="T72" i="47"/>
  <c r="T73" i="47" s="1"/>
  <c r="X72" i="47"/>
  <c r="H43" i="43"/>
  <c r="J43" i="43" s="1"/>
  <c r="F43" i="43"/>
  <c r="K101" i="47" l="1"/>
  <c r="L101" i="47" s="1"/>
  <c r="M101" i="47" s="1"/>
  <c r="K101" i="26"/>
  <c r="L101" i="26" s="1"/>
  <c r="M101" i="26" s="1"/>
  <c r="K43" i="41"/>
  <c r="C44" i="41"/>
  <c r="N100" i="47"/>
  <c r="N101" i="47" s="1"/>
  <c r="V75" i="47"/>
  <c r="Q74" i="47"/>
  <c r="R74" i="47" s="1"/>
  <c r="S74" i="47" s="1"/>
  <c r="K43" i="43"/>
  <c r="C44" i="43"/>
  <c r="Q75" i="47" l="1"/>
  <c r="R75" i="47" s="1"/>
  <c r="S75" i="47" s="1"/>
  <c r="K102" i="26"/>
  <c r="L102" i="26" s="1"/>
  <c r="M102" i="26" s="1"/>
  <c r="K102" i="47"/>
  <c r="L102" i="47" s="1"/>
  <c r="M102" i="47" s="1"/>
  <c r="N102" i="47"/>
  <c r="E44" i="43"/>
  <c r="X74" i="47"/>
  <c r="E44" i="41"/>
  <c r="V76" i="47"/>
  <c r="T74" i="47"/>
  <c r="T75" i="47" s="1"/>
  <c r="K103" i="26" l="1"/>
  <c r="L103" i="26" s="1"/>
  <c r="M103" i="26" s="1"/>
  <c r="K103" i="47"/>
  <c r="L103" i="47" s="1"/>
  <c r="M103" i="47" s="1"/>
  <c r="Q76" i="47"/>
  <c r="R76" i="47" s="1"/>
  <c r="S76" i="47" s="1"/>
  <c r="N103" i="47"/>
  <c r="V77" i="47"/>
  <c r="X75" i="47"/>
  <c r="H44" i="41"/>
  <c r="J44" i="41" s="1"/>
  <c r="F44" i="41"/>
  <c r="H44" i="43"/>
  <c r="J44" i="43" s="1"/>
  <c r="F44" i="43"/>
  <c r="K104" i="47" l="1"/>
  <c r="L104" i="47" s="1"/>
  <c r="M104" i="47" s="1"/>
  <c r="Q77" i="47"/>
  <c r="R77" i="47" s="1"/>
  <c r="S77" i="47"/>
  <c r="K104" i="26"/>
  <c r="L104" i="26" s="1"/>
  <c r="M104" i="26" s="1"/>
  <c r="N104" i="47"/>
  <c r="K44" i="43"/>
  <c r="C45" i="43"/>
  <c r="X76" i="47"/>
  <c r="T76" i="47"/>
  <c r="T77" i="47" s="1"/>
  <c r="K44" i="41"/>
  <c r="C45" i="41"/>
  <c r="X77" i="47"/>
  <c r="V78" i="47"/>
  <c r="K105" i="47" l="1"/>
  <c r="L105" i="47" s="1"/>
  <c r="M105" i="47" s="1"/>
  <c r="K105" i="26"/>
  <c r="L105" i="26" s="1"/>
  <c r="M105" i="26" s="1"/>
  <c r="E45" i="41"/>
  <c r="Q78" i="47"/>
  <c r="R78" i="47" s="1"/>
  <c r="S78" i="47" s="1"/>
  <c r="N105" i="47"/>
  <c r="E45" i="43"/>
  <c r="V79" i="47"/>
  <c r="S79" i="47" l="1"/>
  <c r="Q79" i="47"/>
  <c r="R79" i="47" s="1"/>
  <c r="K106" i="26"/>
  <c r="L106" i="26" s="1"/>
  <c r="M106" i="26" s="1"/>
  <c r="K106" i="47"/>
  <c r="L106" i="47" s="1"/>
  <c r="M106" i="47" s="1"/>
  <c r="X79" i="47"/>
  <c r="V80" i="47"/>
  <c r="X78" i="47"/>
  <c r="H45" i="43"/>
  <c r="J45" i="43" s="1"/>
  <c r="F45" i="43"/>
  <c r="T78" i="47"/>
  <c r="T79" i="47" s="1"/>
  <c r="H45" i="41"/>
  <c r="J45" i="41" s="1"/>
  <c r="F45" i="41"/>
  <c r="N106" i="47"/>
  <c r="M107" i="47" l="1"/>
  <c r="K107" i="47"/>
  <c r="L107" i="47" s="1"/>
  <c r="K107" i="26"/>
  <c r="L107" i="26" s="1"/>
  <c r="M107" i="26" s="1"/>
  <c r="Q80" i="47"/>
  <c r="R80" i="47" s="1"/>
  <c r="S80" i="47" s="1"/>
  <c r="N107" i="47"/>
  <c r="K45" i="41"/>
  <c r="C46" i="41"/>
  <c r="V81" i="47"/>
  <c r="K45" i="43"/>
  <c r="C46" i="43"/>
  <c r="Q81" i="47" l="1"/>
  <c r="R81" i="47" s="1"/>
  <c r="S81" i="47" s="1"/>
  <c r="K108" i="26"/>
  <c r="L108" i="26" s="1"/>
  <c r="M108" i="26" s="1"/>
  <c r="E46" i="43"/>
  <c r="C47" i="43"/>
  <c r="K108" i="47"/>
  <c r="L108" i="47" s="1"/>
  <c r="M108" i="47" s="1"/>
  <c r="X80" i="47"/>
  <c r="V82" i="47"/>
  <c r="T80" i="47"/>
  <c r="E46" i="41"/>
  <c r="C47" i="41"/>
  <c r="K109" i="47" l="1"/>
  <c r="L109" i="47" s="1"/>
  <c r="M109" i="47" s="1"/>
  <c r="K109" i="26"/>
  <c r="L109" i="26" s="1"/>
  <c r="M109" i="26" s="1"/>
  <c r="Q82" i="47"/>
  <c r="R82" i="47" s="1"/>
  <c r="S82" i="47" s="1"/>
  <c r="C12" i="42"/>
  <c r="C12" i="44"/>
  <c r="T81" i="47"/>
  <c r="V83" i="47"/>
  <c r="X81" i="47"/>
  <c r="H46" i="41"/>
  <c r="J46" i="41" s="1"/>
  <c r="J47" i="41" s="1"/>
  <c r="F46" i="41"/>
  <c r="H46" i="43"/>
  <c r="J46" i="43" s="1"/>
  <c r="J47" i="43" s="1"/>
  <c r="C48" i="43" s="1"/>
  <c r="F46" i="43"/>
  <c r="N108" i="47"/>
  <c r="M110" i="47" l="1"/>
  <c r="K110" i="47"/>
  <c r="L110" i="47" s="1"/>
  <c r="Q83" i="47"/>
  <c r="R83" i="47" s="1"/>
  <c r="S83" i="47" s="1"/>
  <c r="K110" i="26"/>
  <c r="L110" i="26" s="1"/>
  <c r="M110" i="26" s="1"/>
  <c r="J48" i="41"/>
  <c r="G12" i="42" s="1"/>
  <c r="E12" i="42"/>
  <c r="F12" i="42" s="1"/>
  <c r="K46" i="41"/>
  <c r="C49" i="41"/>
  <c r="V84" i="47"/>
  <c r="J48" i="43"/>
  <c r="G12" i="44" s="1"/>
  <c r="E12" i="44"/>
  <c r="F12" i="44" s="1"/>
  <c r="X82" i="47"/>
  <c r="N109" i="47"/>
  <c r="N110" i="47" s="1"/>
  <c r="C48" i="41"/>
  <c r="T82" i="47"/>
  <c r="T83" i="47" s="1"/>
  <c r="K46" i="43"/>
  <c r="C49" i="43"/>
  <c r="K111" i="26" l="1"/>
  <c r="L111" i="26" s="1"/>
  <c r="M111" i="26" s="1"/>
  <c r="Q84" i="47"/>
  <c r="R84" i="47" s="1"/>
  <c r="S84" i="47" s="1"/>
  <c r="N111" i="47"/>
  <c r="E49" i="43"/>
  <c r="K111" i="47"/>
  <c r="L111" i="47" s="1"/>
  <c r="M111" i="47" s="1"/>
  <c r="V85" i="47"/>
  <c r="E49" i="41"/>
  <c r="X83" i="47"/>
  <c r="Q85" i="47" l="1"/>
  <c r="R85" i="47" s="1"/>
  <c r="S85" i="47"/>
  <c r="K112" i="47"/>
  <c r="L112" i="47" s="1"/>
  <c r="M112" i="47" s="1"/>
  <c r="K112" i="26"/>
  <c r="L112" i="26" s="1"/>
  <c r="M112" i="26" s="1"/>
  <c r="X84" i="47"/>
  <c r="T84" i="47"/>
  <c r="T85" i="47" s="1"/>
  <c r="X85" i="47"/>
  <c r="V86" i="47"/>
  <c r="H49" i="41"/>
  <c r="J49" i="41" s="1"/>
  <c r="F49" i="41"/>
  <c r="H49" i="43"/>
  <c r="J49" i="43" s="1"/>
  <c r="F49" i="43"/>
  <c r="K113" i="26" l="1"/>
  <c r="L113" i="26" s="1"/>
  <c r="M113" i="26" s="1"/>
  <c r="K113" i="47"/>
  <c r="L113" i="47" s="1"/>
  <c r="M113" i="47"/>
  <c r="K49" i="41"/>
  <c r="C50" i="41"/>
  <c r="K49" i="43"/>
  <c r="C50" i="43"/>
  <c r="N112" i="47"/>
  <c r="N113" i="47" s="1"/>
  <c r="V87" i="47"/>
  <c r="X86" i="47"/>
  <c r="S86" i="47"/>
  <c r="Q86" i="47"/>
  <c r="R86" i="47" s="1"/>
  <c r="T86" i="47"/>
  <c r="K114" i="26" l="1"/>
  <c r="L114" i="26" s="1"/>
  <c r="M114" i="26" s="1"/>
  <c r="Q87" i="47"/>
  <c r="R87" i="47" s="1"/>
  <c r="S87" i="47" s="1"/>
  <c r="V88" i="47"/>
  <c r="K114" i="47"/>
  <c r="L114" i="47" s="1"/>
  <c r="M114" i="47" s="1"/>
  <c r="E50" i="41"/>
  <c r="E50" i="43"/>
  <c r="T87" i="47"/>
  <c r="Q88" i="47" l="1"/>
  <c r="R88" i="47" s="1"/>
  <c r="S88" i="47" s="1"/>
  <c r="K115" i="47"/>
  <c r="L115" i="47" s="1"/>
  <c r="M115" i="47" s="1"/>
  <c r="K115" i="26"/>
  <c r="L115" i="26" s="1"/>
  <c r="M115" i="26" s="1"/>
  <c r="X87" i="47"/>
  <c r="T88" i="47"/>
  <c r="H50" i="43"/>
  <c r="J50" i="43" s="1"/>
  <c r="F50" i="43"/>
  <c r="V89" i="47"/>
  <c r="H50" i="41"/>
  <c r="J50" i="41" s="1"/>
  <c r="F50" i="41"/>
  <c r="N114" i="47"/>
  <c r="N115" i="47" s="1"/>
  <c r="K116" i="26" l="1"/>
  <c r="L116" i="26" s="1"/>
  <c r="M116" i="26" s="1"/>
  <c r="K116" i="47"/>
  <c r="L116" i="47" s="1"/>
  <c r="M116" i="47" s="1"/>
  <c r="Q89" i="47"/>
  <c r="R89" i="47" s="1"/>
  <c r="S89" i="47"/>
  <c r="T89" i="47"/>
  <c r="K50" i="41"/>
  <c r="C51" i="41"/>
  <c r="X88" i="47"/>
  <c r="X89" i="47"/>
  <c r="V90" i="47"/>
  <c r="K50" i="43"/>
  <c r="C51" i="43"/>
  <c r="K117" i="47" l="1"/>
  <c r="L117" i="47" s="1"/>
  <c r="M117" i="47" s="1"/>
  <c r="K117" i="26"/>
  <c r="L117" i="26" s="1"/>
  <c r="M117" i="26" s="1"/>
  <c r="Q90" i="47"/>
  <c r="R90" i="47" s="1"/>
  <c r="S90" i="47" s="1"/>
  <c r="V91" i="47"/>
  <c r="E51" i="41"/>
  <c r="N116" i="47"/>
  <c r="N117" i="47" s="1"/>
  <c r="E51" i="43"/>
  <c r="Q91" i="47" l="1"/>
  <c r="R91" i="47" s="1"/>
  <c r="S91" i="47" s="1"/>
  <c r="K118" i="26"/>
  <c r="L118" i="26" s="1"/>
  <c r="M118" i="26" s="1"/>
  <c r="K118" i="47"/>
  <c r="L118" i="47" s="1"/>
  <c r="M118" i="47" s="1"/>
  <c r="X90" i="47"/>
  <c r="V92" i="47"/>
  <c r="T90" i="47"/>
  <c r="T91" i="47" s="1"/>
  <c r="H51" i="43"/>
  <c r="J51" i="43" s="1"/>
  <c r="F51" i="43"/>
  <c r="H51" i="41"/>
  <c r="J51" i="41" s="1"/>
  <c r="F51" i="41"/>
  <c r="K119" i="47" l="1"/>
  <c r="L119" i="47" s="1"/>
  <c r="M119" i="47" s="1"/>
  <c r="K119" i="26"/>
  <c r="L119" i="26" s="1"/>
  <c r="M119" i="26" s="1"/>
  <c r="Q92" i="47"/>
  <c r="R92" i="47" s="1"/>
  <c r="S92" i="47" s="1"/>
  <c r="N118" i="47"/>
  <c r="K51" i="41"/>
  <c r="C52" i="41"/>
  <c r="K51" i="43"/>
  <c r="C52" i="43"/>
  <c r="T92" i="47"/>
  <c r="X91" i="47"/>
  <c r="V93" i="47"/>
  <c r="Q93" i="47" l="1"/>
  <c r="R93" i="47" s="1"/>
  <c r="S93" i="47" s="1"/>
  <c r="K120" i="26"/>
  <c r="L120" i="26" s="1"/>
  <c r="M120" i="26"/>
  <c r="K120" i="47"/>
  <c r="L120" i="47" s="1"/>
  <c r="M120" i="47" s="1"/>
  <c r="T93" i="47"/>
  <c r="E52" i="43"/>
  <c r="X92" i="47"/>
  <c r="V94" i="47"/>
  <c r="E52" i="41"/>
  <c r="N119" i="47"/>
  <c r="K121" i="47" l="1"/>
  <c r="L121" i="47" s="1"/>
  <c r="M121" i="47" s="1"/>
  <c r="Q94" i="47"/>
  <c r="R94" i="47" s="1"/>
  <c r="S94" i="47" s="1"/>
  <c r="V95" i="47"/>
  <c r="K121" i="26"/>
  <c r="L121" i="26" s="1"/>
  <c r="M121" i="26" s="1"/>
  <c r="T94" i="47"/>
  <c r="X93" i="47"/>
  <c r="H52" i="41"/>
  <c r="J52" i="41" s="1"/>
  <c r="F52" i="41"/>
  <c r="N120" i="47"/>
  <c r="H52" i="43"/>
  <c r="J52" i="43" s="1"/>
  <c r="F52" i="43"/>
  <c r="M122" i="26" l="1"/>
  <c r="K122" i="26"/>
  <c r="L122" i="26" s="1"/>
  <c r="Q95" i="47"/>
  <c r="R95" i="47" s="1"/>
  <c r="S95" i="47" s="1"/>
  <c r="K122" i="47"/>
  <c r="L122" i="47" s="1"/>
  <c r="M122" i="47" s="1"/>
  <c r="K52" i="43"/>
  <c r="C53" i="43"/>
  <c r="X94" i="47"/>
  <c r="T95" i="47"/>
  <c r="N121" i="47"/>
  <c r="V96" i="47"/>
  <c r="K52" i="41"/>
  <c r="C53" i="41"/>
  <c r="K123" i="47" l="1"/>
  <c r="L123" i="47" s="1"/>
  <c r="M123" i="47" s="1"/>
  <c r="Q96" i="47"/>
  <c r="R96" i="47" s="1"/>
  <c r="S96" i="47"/>
  <c r="X95" i="47"/>
  <c r="T96" i="47"/>
  <c r="E53" i="41"/>
  <c r="V97" i="47"/>
  <c r="X96" i="47"/>
  <c r="N122" i="47"/>
  <c r="N123" i="47" s="1"/>
  <c r="E53" i="43"/>
  <c r="M123" i="26"/>
  <c r="K123" i="26"/>
  <c r="L123" i="26" s="1"/>
  <c r="K124" i="47" l="1"/>
  <c r="L124" i="47" s="1"/>
  <c r="M124" i="47" s="1"/>
  <c r="H53" i="41"/>
  <c r="J53" i="41" s="1"/>
  <c r="F53" i="41"/>
  <c r="H53" i="43"/>
  <c r="J53" i="43" s="1"/>
  <c r="F53" i="43"/>
  <c r="K124" i="26"/>
  <c r="L124" i="26" s="1"/>
  <c r="M124" i="26" s="1"/>
  <c r="Q97" i="47"/>
  <c r="R97" i="47" s="1"/>
  <c r="S97" i="47" s="1"/>
  <c r="N124" i="47"/>
  <c r="V98" i="47"/>
  <c r="Q98" i="47" l="1"/>
  <c r="R98" i="47" s="1"/>
  <c r="S98" i="47" s="1"/>
  <c r="K125" i="26"/>
  <c r="L125" i="26" s="1"/>
  <c r="M125" i="26" s="1"/>
  <c r="K125" i="47"/>
  <c r="L125" i="47" s="1"/>
  <c r="M125" i="47" s="1"/>
  <c r="X97" i="47"/>
  <c r="V99" i="47"/>
  <c r="K53" i="43"/>
  <c r="C54" i="43"/>
  <c r="K53" i="41"/>
  <c r="C54" i="41"/>
  <c r="T97" i="47"/>
  <c r="T98" i="47" s="1"/>
  <c r="Q99" i="47" l="1"/>
  <c r="R99" i="47" s="1"/>
  <c r="S99" i="47" s="1"/>
  <c r="K126" i="47"/>
  <c r="L126" i="47" s="1"/>
  <c r="M126" i="47" s="1"/>
  <c r="K126" i="26"/>
  <c r="L126" i="26" s="1"/>
  <c r="M126" i="26" s="1"/>
  <c r="V100" i="47"/>
  <c r="N125" i="47"/>
  <c r="N126" i="47" s="1"/>
  <c r="E54" i="43"/>
  <c r="E54" i="41"/>
  <c r="T99" i="47"/>
  <c r="X98" i="47"/>
  <c r="K127" i="26" l="1"/>
  <c r="L127" i="26" s="1"/>
  <c r="M127" i="26" s="1"/>
  <c r="K127" i="47"/>
  <c r="L127" i="47" s="1"/>
  <c r="M127" i="47" s="1"/>
  <c r="Q100" i="47"/>
  <c r="R100" i="47" s="1"/>
  <c r="S100" i="47" s="1"/>
  <c r="T100" i="47"/>
  <c r="H54" i="41"/>
  <c r="J54" i="41" s="1"/>
  <c r="F54" i="41"/>
  <c r="H54" i="43"/>
  <c r="J54" i="43" s="1"/>
  <c r="F54" i="43"/>
  <c r="X99" i="47"/>
  <c r="V101" i="47"/>
  <c r="N127" i="47"/>
  <c r="K128" i="26" l="1"/>
  <c r="L128" i="26" s="1"/>
  <c r="M128" i="26"/>
  <c r="S101" i="47"/>
  <c r="Q101" i="47"/>
  <c r="R101" i="47" s="1"/>
  <c r="K128" i="47"/>
  <c r="L128" i="47" s="1"/>
  <c r="M128" i="47" s="1"/>
  <c r="T101" i="47"/>
  <c r="N128" i="47"/>
  <c r="K54" i="43"/>
  <c r="C55" i="43"/>
  <c r="X100" i="47"/>
  <c r="V102" i="47"/>
  <c r="X101" i="47"/>
  <c r="K54" i="41"/>
  <c r="C55" i="41"/>
  <c r="K129" i="47" l="1"/>
  <c r="L129" i="47" s="1"/>
  <c r="M129" i="47"/>
  <c r="Q102" i="47"/>
  <c r="R102" i="47" s="1"/>
  <c r="S102" i="47" s="1"/>
  <c r="K129" i="26"/>
  <c r="L129" i="26" s="1"/>
  <c r="M129" i="26" s="1"/>
  <c r="N129" i="47"/>
  <c r="V103" i="47"/>
  <c r="E55" i="43"/>
  <c r="E55" i="41"/>
  <c r="K130" i="26" l="1"/>
  <c r="L130" i="26" s="1"/>
  <c r="M130" i="26" s="1"/>
  <c r="Q103" i="47"/>
  <c r="R103" i="47" s="1"/>
  <c r="S103" i="47" s="1"/>
  <c r="N130" i="47"/>
  <c r="H55" i="41"/>
  <c r="J55" i="41" s="1"/>
  <c r="F55" i="41"/>
  <c r="H55" i="43"/>
  <c r="J55" i="43" s="1"/>
  <c r="F55" i="43"/>
  <c r="T102" i="47"/>
  <c r="K130" i="47"/>
  <c r="L130" i="47" s="1"/>
  <c r="M130" i="47" s="1"/>
  <c r="X102" i="47"/>
  <c r="V104" i="47"/>
  <c r="K131" i="47" l="1"/>
  <c r="L131" i="47" s="1"/>
  <c r="M131" i="47" s="1"/>
  <c r="K131" i="26"/>
  <c r="L131" i="26" s="1"/>
  <c r="M131" i="26" s="1"/>
  <c r="Q104" i="47"/>
  <c r="R104" i="47" s="1"/>
  <c r="S104" i="47"/>
  <c r="K55" i="41"/>
  <c r="C56" i="41"/>
  <c r="V105" i="47"/>
  <c r="X103" i="47"/>
  <c r="T103" i="47"/>
  <c r="T104" i="47" s="1"/>
  <c r="K55" i="43"/>
  <c r="C56" i="43"/>
  <c r="K132" i="26" l="1"/>
  <c r="L132" i="26" s="1"/>
  <c r="M132" i="26" s="1"/>
  <c r="K132" i="47"/>
  <c r="L132" i="47" s="1"/>
  <c r="M132" i="47" s="1"/>
  <c r="Q105" i="47"/>
  <c r="R105" i="47" s="1"/>
  <c r="S105" i="47" s="1"/>
  <c r="T105" i="47"/>
  <c r="N131" i="47"/>
  <c r="N132" i="47" s="1"/>
  <c r="X104" i="47"/>
  <c r="V106" i="47"/>
  <c r="E56" i="43"/>
  <c r="E56" i="41"/>
  <c r="K133" i="47" l="1"/>
  <c r="L133" i="47" s="1"/>
  <c r="M133" i="47" s="1"/>
  <c r="Q106" i="47"/>
  <c r="R106" i="47" s="1"/>
  <c r="S106" i="47" s="1"/>
  <c r="K133" i="26"/>
  <c r="L133" i="26" s="1"/>
  <c r="M133" i="26" s="1"/>
  <c r="T106" i="47"/>
  <c r="H56" i="41"/>
  <c r="J56" i="41" s="1"/>
  <c r="F56" i="41"/>
  <c r="H56" i="43"/>
  <c r="J56" i="43" s="1"/>
  <c r="F56" i="43"/>
  <c r="V107" i="47"/>
  <c r="X105" i="47"/>
  <c r="M134" i="47" l="1"/>
  <c r="K134" i="47"/>
  <c r="L134" i="47" s="1"/>
  <c r="K134" i="26"/>
  <c r="L134" i="26" s="1"/>
  <c r="M134" i="26" s="1"/>
  <c r="Q107" i="47"/>
  <c r="R107" i="47" s="1"/>
  <c r="S107" i="47" s="1"/>
  <c r="K56" i="41"/>
  <c r="C57" i="41"/>
  <c r="V108" i="47"/>
  <c r="X106" i="47"/>
  <c r="K56" i="43"/>
  <c r="C57" i="43"/>
  <c r="N133" i="47"/>
  <c r="N134" i="47" s="1"/>
  <c r="Q108" i="47" l="1"/>
  <c r="R108" i="47" s="1"/>
  <c r="S108" i="47" s="1"/>
  <c r="K135" i="26"/>
  <c r="L135" i="26" s="1"/>
  <c r="M135" i="26" s="1"/>
  <c r="E57" i="43"/>
  <c r="V109" i="47"/>
  <c r="X107" i="47"/>
  <c r="T107" i="47"/>
  <c r="E57" i="41"/>
  <c r="K135" i="47"/>
  <c r="L135" i="47" s="1"/>
  <c r="M135" i="47" s="1"/>
  <c r="K136" i="26" l="1"/>
  <c r="L136" i="26" s="1"/>
  <c r="M136" i="26" s="1"/>
  <c r="K136" i="47"/>
  <c r="L136" i="47" s="1"/>
  <c r="M136" i="47" s="1"/>
  <c r="Q109" i="47"/>
  <c r="R109" i="47" s="1"/>
  <c r="S109" i="47" s="1"/>
  <c r="X108" i="47"/>
  <c r="V110" i="47"/>
  <c r="H57" i="41"/>
  <c r="J57" i="41" s="1"/>
  <c r="F57" i="41"/>
  <c r="H57" i="43"/>
  <c r="J57" i="43" s="1"/>
  <c r="F57" i="43"/>
  <c r="N135" i="47"/>
  <c r="N136" i="47" s="1"/>
  <c r="T108" i="47"/>
  <c r="T109" i="47" s="1"/>
  <c r="M137" i="26" l="1"/>
  <c r="K137" i="26"/>
  <c r="L137" i="26" s="1"/>
  <c r="Q110" i="47"/>
  <c r="R110" i="47" s="1"/>
  <c r="S110" i="47" s="1"/>
  <c r="K137" i="47"/>
  <c r="L137" i="47" s="1"/>
  <c r="M137" i="47"/>
  <c r="T110" i="47"/>
  <c r="V111" i="47"/>
  <c r="K57" i="43"/>
  <c r="C58" i="43"/>
  <c r="N137" i="47"/>
  <c r="K57" i="41"/>
  <c r="C58" i="41"/>
  <c r="X109" i="47"/>
  <c r="Q111" i="47" l="1"/>
  <c r="R111" i="47" s="1"/>
  <c r="S111" i="47" s="1"/>
  <c r="V112" i="47"/>
  <c r="E58" i="41"/>
  <c r="E58" i="43"/>
  <c r="K138" i="47"/>
  <c r="L138" i="47" s="1"/>
  <c r="M138" i="47" s="1"/>
  <c r="N138" i="47"/>
  <c r="X110" i="47"/>
  <c r="K138" i="26"/>
  <c r="L138" i="26" s="1"/>
  <c r="M138" i="26" s="1"/>
  <c r="K139" i="47" l="1"/>
  <c r="L139" i="47" s="1"/>
  <c r="M139" i="47" s="1"/>
  <c r="K139" i="26"/>
  <c r="L139" i="26" s="1"/>
  <c r="M139" i="26" s="1"/>
  <c r="Q112" i="47"/>
  <c r="R112" i="47" s="1"/>
  <c r="S112" i="47" s="1"/>
  <c r="H58" i="43"/>
  <c r="J58" i="43" s="1"/>
  <c r="F58" i="43"/>
  <c r="X111" i="47"/>
  <c r="H58" i="41"/>
  <c r="J58" i="41" s="1"/>
  <c r="F58" i="41"/>
  <c r="N139" i="47"/>
  <c r="V113" i="47"/>
  <c r="T111" i="47"/>
  <c r="T112" i="47" s="1"/>
  <c r="K140" i="47" l="1"/>
  <c r="L140" i="47" s="1"/>
  <c r="M140" i="47" s="1"/>
  <c r="Q113" i="47"/>
  <c r="R113" i="47" s="1"/>
  <c r="S113" i="47" s="1"/>
  <c r="K140" i="26"/>
  <c r="L140" i="26" s="1"/>
  <c r="M140" i="26"/>
  <c r="T113" i="47"/>
  <c r="X112" i="47"/>
  <c r="V114" i="47"/>
  <c r="K58" i="43"/>
  <c r="C59" i="43"/>
  <c r="N140" i="47"/>
  <c r="K58" i="41"/>
  <c r="C59" i="41"/>
  <c r="S114" i="47" l="1"/>
  <c r="Q114" i="47"/>
  <c r="R114" i="47" s="1"/>
  <c r="K141" i="47"/>
  <c r="L141" i="47" s="1"/>
  <c r="M141" i="47" s="1"/>
  <c r="K141" i="26"/>
  <c r="L141" i="26" s="1"/>
  <c r="M141" i="26" s="1"/>
  <c r="N141" i="47"/>
  <c r="X113" i="47"/>
  <c r="T114" i="47"/>
  <c r="E59" i="43"/>
  <c r="E59" i="41"/>
  <c r="V115" i="47"/>
  <c r="X114" i="47"/>
  <c r="M142" i="26" l="1"/>
  <c r="K142" i="26"/>
  <c r="L142" i="26" s="1"/>
  <c r="K142" i="47"/>
  <c r="L142" i="47" s="1"/>
  <c r="M142" i="47" s="1"/>
  <c r="N142" i="47"/>
  <c r="H59" i="41"/>
  <c r="J59" i="41" s="1"/>
  <c r="F59" i="41"/>
  <c r="H59" i="43"/>
  <c r="J59" i="43" s="1"/>
  <c r="F59" i="43"/>
  <c r="V116" i="47"/>
  <c r="Q115" i="47"/>
  <c r="R115" i="47" s="1"/>
  <c r="S115" i="47" s="1"/>
  <c r="Q116" i="47" l="1"/>
  <c r="R116" i="47" s="1"/>
  <c r="S116" i="47" s="1"/>
  <c r="K143" i="47"/>
  <c r="L143" i="47" s="1"/>
  <c r="M143" i="47" s="1"/>
  <c r="K59" i="41"/>
  <c r="C60" i="41"/>
  <c r="K59" i="43"/>
  <c r="C60" i="43"/>
  <c r="T115" i="47"/>
  <c r="K143" i="26"/>
  <c r="L143" i="26" s="1"/>
  <c r="M143" i="26"/>
  <c r="N143" i="47"/>
  <c r="X115" i="47"/>
  <c r="V117" i="47"/>
  <c r="K144" i="47" l="1"/>
  <c r="L144" i="47" s="1"/>
  <c r="M144" i="47" s="1"/>
  <c r="Q117" i="47"/>
  <c r="R117" i="47" s="1"/>
  <c r="S117" i="47" s="1"/>
  <c r="V118" i="47"/>
  <c r="E60" i="41"/>
  <c r="C61" i="41"/>
  <c r="X116" i="47"/>
  <c r="K144" i="26"/>
  <c r="L144" i="26" s="1"/>
  <c r="M144" i="26" s="1"/>
  <c r="T116" i="47"/>
  <c r="T117" i="47" s="1"/>
  <c r="E60" i="43"/>
  <c r="C61" i="43"/>
  <c r="M145" i="26" l="1"/>
  <c r="K145" i="26"/>
  <c r="L145" i="26" s="1"/>
  <c r="Q118" i="47"/>
  <c r="R118" i="47" s="1"/>
  <c r="S118" i="47" s="1"/>
  <c r="K145" i="47"/>
  <c r="L145" i="47" s="1"/>
  <c r="M145" i="47"/>
  <c r="V119" i="47"/>
  <c r="X117" i="47"/>
  <c r="H60" i="41"/>
  <c r="J60" i="41" s="1"/>
  <c r="J61" i="41" s="1"/>
  <c r="F60" i="41"/>
  <c r="N144" i="47"/>
  <c r="N145" i="47" s="1"/>
  <c r="H60" i="43"/>
  <c r="J60" i="43" s="1"/>
  <c r="J61" i="43" s="1"/>
  <c r="F60" i="43"/>
  <c r="T118" i="47"/>
  <c r="C62" i="43"/>
  <c r="C13" i="44"/>
  <c r="C62" i="41"/>
  <c r="C13" i="42"/>
  <c r="S119" i="47" l="1"/>
  <c r="Q119" i="47"/>
  <c r="R119" i="47" s="1"/>
  <c r="X118" i="47"/>
  <c r="V120" i="47"/>
  <c r="X119" i="47"/>
  <c r="J62" i="43"/>
  <c r="G13" i="44" s="1"/>
  <c r="E13" i="44"/>
  <c r="F13" i="44" s="1"/>
  <c r="K60" i="43"/>
  <c r="C63" i="43"/>
  <c r="K146" i="47"/>
  <c r="L146" i="47" s="1"/>
  <c r="M146" i="47" s="1"/>
  <c r="N146" i="47"/>
  <c r="K60" i="41"/>
  <c r="C63" i="41"/>
  <c r="T119" i="47"/>
  <c r="J62" i="41"/>
  <c r="G13" i="42" s="1"/>
  <c r="E13" i="42"/>
  <c r="F13" i="42" s="1"/>
  <c r="K146" i="26"/>
  <c r="L146" i="26" s="1"/>
  <c r="M146" i="26" s="1"/>
  <c r="K147" i="47" l="1"/>
  <c r="L147" i="47" s="1"/>
  <c r="M147" i="47" s="1"/>
  <c r="K147" i="26"/>
  <c r="L147" i="26" s="1"/>
  <c r="M147" i="26" s="1"/>
  <c r="N147" i="47"/>
  <c r="X120" i="47"/>
  <c r="V121" i="47"/>
  <c r="E63" i="41"/>
  <c r="E63" i="43"/>
  <c r="Q120" i="47"/>
  <c r="R120" i="47" s="1"/>
  <c r="S120" i="47"/>
  <c r="M148" i="47" l="1"/>
  <c r="K148" i="47"/>
  <c r="L148" i="47" s="1"/>
  <c r="K148" i="26"/>
  <c r="L148" i="26" s="1"/>
  <c r="M148" i="26" s="1"/>
  <c r="Q121" i="47"/>
  <c r="R121" i="47" s="1"/>
  <c r="S121" i="47" s="1"/>
  <c r="H63" i="43"/>
  <c r="J63" i="43" s="1"/>
  <c r="F63" i="43"/>
  <c r="N148" i="47"/>
  <c r="V122" i="47"/>
  <c r="T120" i="47"/>
  <c r="H63" i="41"/>
  <c r="J63" i="41" s="1"/>
  <c r="F63" i="41"/>
  <c r="S122" i="47" l="1"/>
  <c r="Q122" i="47"/>
  <c r="R122" i="47" s="1"/>
  <c r="K149" i="26"/>
  <c r="L149" i="26" s="1"/>
  <c r="M149" i="26" s="1"/>
  <c r="N149" i="47"/>
  <c r="X121" i="47"/>
  <c r="K63" i="43"/>
  <c r="C64" i="43"/>
  <c r="K63" i="41"/>
  <c r="C64" i="41"/>
  <c r="T121" i="47"/>
  <c r="T122" i="47" s="1"/>
  <c r="V123" i="47"/>
  <c r="X122" i="47"/>
  <c r="K149" i="47"/>
  <c r="L149" i="47" s="1"/>
  <c r="M149" i="47"/>
  <c r="K150" i="26" l="1"/>
  <c r="L150" i="26" s="1"/>
  <c r="M150" i="26" s="1"/>
  <c r="V124" i="47"/>
  <c r="E64" i="41"/>
  <c r="E64" i="43"/>
  <c r="K150" i="47"/>
  <c r="L150" i="47" s="1"/>
  <c r="M150" i="47" s="1"/>
  <c r="Q123" i="47"/>
  <c r="R123" i="47" s="1"/>
  <c r="S123" i="47" s="1"/>
  <c r="K151" i="26" l="1"/>
  <c r="L151" i="26" s="1"/>
  <c r="M151" i="26"/>
  <c r="Q124" i="47"/>
  <c r="R124" i="47" s="1"/>
  <c r="S124" i="47" s="1"/>
  <c r="K151" i="47"/>
  <c r="L151" i="47" s="1"/>
  <c r="M151" i="47" s="1"/>
  <c r="V125" i="47"/>
  <c r="X123" i="47"/>
  <c r="H64" i="43"/>
  <c r="J64" i="43" s="1"/>
  <c r="F64" i="43"/>
  <c r="H64" i="41"/>
  <c r="J64" i="41" s="1"/>
  <c r="F64" i="41"/>
  <c r="N150" i="47"/>
  <c r="N151" i="47" s="1"/>
  <c r="T123" i="47"/>
  <c r="T124" i="47" s="1"/>
  <c r="M152" i="47" l="1"/>
  <c r="K152" i="47"/>
  <c r="L152" i="47" s="1"/>
  <c r="Q125" i="47"/>
  <c r="R125" i="47" s="1"/>
  <c r="S125" i="47" s="1"/>
  <c r="X124" i="47"/>
  <c r="V126" i="47"/>
  <c r="N152" i="47"/>
  <c r="K152" i="26"/>
  <c r="L152" i="26" s="1"/>
  <c r="M152" i="26" s="1"/>
  <c r="T125" i="47"/>
  <c r="K64" i="41"/>
  <c r="C65" i="41"/>
  <c r="K64" i="43"/>
  <c r="C65" i="43"/>
  <c r="M153" i="26" l="1"/>
  <c r="K153" i="26"/>
  <c r="L153" i="26" s="1"/>
  <c r="Q126" i="47"/>
  <c r="R126" i="47" s="1"/>
  <c r="S126" i="47" s="1"/>
  <c r="E65" i="43"/>
  <c r="E65" i="41"/>
  <c r="V127" i="47"/>
  <c r="X125" i="47"/>
  <c r="K153" i="47"/>
  <c r="L153" i="47" s="1"/>
  <c r="M153" i="47" s="1"/>
  <c r="S127" i="47" l="1"/>
  <c r="Q127" i="47"/>
  <c r="R127" i="47" s="1"/>
  <c r="K154" i="47"/>
  <c r="L154" i="47" s="1"/>
  <c r="M154" i="47" s="1"/>
  <c r="T126" i="47"/>
  <c r="T127" i="47" s="1"/>
  <c r="H65" i="43"/>
  <c r="J65" i="43" s="1"/>
  <c r="F65" i="43"/>
  <c r="V128" i="47"/>
  <c r="X127" i="47"/>
  <c r="X126" i="47"/>
  <c r="N153" i="47"/>
  <c r="H65" i="41"/>
  <c r="J65" i="41" s="1"/>
  <c r="F65" i="41"/>
  <c r="K154" i="26"/>
  <c r="L154" i="26" s="1"/>
  <c r="M154" i="26" s="1"/>
  <c r="M155" i="26" l="1"/>
  <c r="K155" i="26"/>
  <c r="L155" i="26" s="1"/>
  <c r="K155" i="47"/>
  <c r="L155" i="47" s="1"/>
  <c r="M155" i="47" s="1"/>
  <c r="V129" i="47"/>
  <c r="K65" i="43"/>
  <c r="C66" i="43"/>
  <c r="K65" i="41"/>
  <c r="C66" i="41"/>
  <c r="N154" i="47"/>
  <c r="N155" i="47" s="1"/>
  <c r="Q128" i="47"/>
  <c r="R128" i="47" s="1"/>
  <c r="S128" i="47" s="1"/>
  <c r="S129" i="47" l="1"/>
  <c r="Q129" i="47"/>
  <c r="R129" i="47" s="1"/>
  <c r="K156" i="47"/>
  <c r="L156" i="47" s="1"/>
  <c r="M156" i="47" s="1"/>
  <c r="X128" i="47"/>
  <c r="E66" i="41"/>
  <c r="N156" i="47"/>
  <c r="V130" i="47"/>
  <c r="X129" i="47"/>
  <c r="T128" i="47"/>
  <c r="T129" i="47" s="1"/>
  <c r="E66" i="43"/>
  <c r="M156" i="26"/>
  <c r="K156" i="26"/>
  <c r="L156" i="26" s="1"/>
  <c r="K157" i="47" l="1"/>
  <c r="L157" i="47" s="1"/>
  <c r="M157" i="47" s="1"/>
  <c r="K157" i="26"/>
  <c r="L157" i="26" s="1"/>
  <c r="M157" i="26"/>
  <c r="H66" i="43"/>
  <c r="J66" i="43" s="1"/>
  <c r="F66" i="43"/>
  <c r="H66" i="41"/>
  <c r="J66" i="41" s="1"/>
  <c r="F66" i="41"/>
  <c r="T130" i="47"/>
  <c r="V131" i="47"/>
  <c r="Q130" i="47"/>
  <c r="R130" i="47" s="1"/>
  <c r="S130" i="47" s="1"/>
  <c r="Q131" i="47" l="1"/>
  <c r="R131" i="47" s="1"/>
  <c r="S131" i="47" s="1"/>
  <c r="K158" i="47"/>
  <c r="L158" i="47" s="1"/>
  <c r="M158" i="47" s="1"/>
  <c r="T131" i="47"/>
  <c r="K66" i="43"/>
  <c r="C67" i="43"/>
  <c r="K158" i="26"/>
  <c r="L158" i="26" s="1"/>
  <c r="M158" i="26" s="1"/>
  <c r="N157" i="47"/>
  <c r="N158" i="47" s="1"/>
  <c r="K66" i="41"/>
  <c r="C67" i="41"/>
  <c r="X130" i="47"/>
  <c r="V132" i="47"/>
  <c r="K159" i="47" l="1"/>
  <c r="L159" i="47" s="1"/>
  <c r="M159" i="47" s="1"/>
  <c r="K159" i="26"/>
  <c r="L159" i="26" s="1"/>
  <c r="M159" i="26"/>
  <c r="Q132" i="47"/>
  <c r="R132" i="47" s="1"/>
  <c r="S132" i="47"/>
  <c r="E67" i="43"/>
  <c r="E67" i="41"/>
  <c r="N159" i="47"/>
  <c r="X132" i="47"/>
  <c r="V133" i="47"/>
  <c r="X131" i="47"/>
  <c r="K160" i="47" l="1"/>
  <c r="L160" i="47" s="1"/>
  <c r="M160" i="47" s="1"/>
  <c r="H67" i="43"/>
  <c r="J67" i="43" s="1"/>
  <c r="F67" i="43"/>
  <c r="H67" i="41"/>
  <c r="J67" i="41" s="1"/>
  <c r="F67" i="41"/>
  <c r="V134" i="47"/>
  <c r="Q133" i="47"/>
  <c r="R133" i="47" s="1"/>
  <c r="S133" i="47" s="1"/>
  <c r="T132" i="47"/>
  <c r="T133" i="47" s="1"/>
  <c r="N160" i="47"/>
  <c r="K160" i="26"/>
  <c r="L160" i="26" s="1"/>
  <c r="M160" i="26" s="1"/>
  <c r="Q134" i="47" l="1"/>
  <c r="R134" i="47" s="1"/>
  <c r="S134" i="47" s="1"/>
  <c r="K161" i="26"/>
  <c r="L161" i="26" s="1"/>
  <c r="M161" i="26" s="1"/>
  <c r="K161" i="47"/>
  <c r="L161" i="47" s="1"/>
  <c r="M161" i="47"/>
  <c r="N161" i="47"/>
  <c r="X133" i="47"/>
  <c r="K67" i="41"/>
  <c r="C68" i="41"/>
  <c r="K67" i="43"/>
  <c r="C68" i="43"/>
  <c r="T134" i="47"/>
  <c r="V135" i="47"/>
  <c r="K162" i="26" l="1"/>
  <c r="L162" i="26" s="1"/>
  <c r="M162" i="26" s="1"/>
  <c r="Q135" i="47"/>
  <c r="R135" i="47" s="1"/>
  <c r="S135" i="47" s="1"/>
  <c r="E68" i="43"/>
  <c r="V136" i="47"/>
  <c r="E68" i="41"/>
  <c r="T135" i="47"/>
  <c r="K162" i="47"/>
  <c r="L162" i="47" s="1"/>
  <c r="M162" i="47" s="1"/>
  <c r="X134" i="47"/>
  <c r="Q136" i="47" l="1"/>
  <c r="R136" i="47" s="1"/>
  <c r="S136" i="47"/>
  <c r="K163" i="47"/>
  <c r="L163" i="47" s="1"/>
  <c r="M163" i="47" s="1"/>
  <c r="K163" i="26"/>
  <c r="L163" i="26" s="1"/>
  <c r="M163" i="26" s="1"/>
  <c r="H68" i="43"/>
  <c r="J68" i="43" s="1"/>
  <c r="F68" i="43"/>
  <c r="X136" i="47"/>
  <c r="V137" i="47"/>
  <c r="N162" i="47"/>
  <c r="T136" i="47"/>
  <c r="H68" i="41"/>
  <c r="J68" i="41" s="1"/>
  <c r="F68" i="41"/>
  <c r="X135" i="47"/>
  <c r="K164" i="26" l="1"/>
  <c r="L164" i="26" s="1"/>
  <c r="M164" i="26" s="1"/>
  <c r="K164" i="47"/>
  <c r="L164" i="47" s="1"/>
  <c r="M164" i="47" s="1"/>
  <c r="K68" i="41"/>
  <c r="C69" i="41"/>
  <c r="T137" i="47"/>
  <c r="N163" i="47"/>
  <c r="V138" i="47"/>
  <c r="Q137" i="47"/>
  <c r="R137" i="47" s="1"/>
  <c r="S137" i="47" s="1"/>
  <c r="K68" i="43"/>
  <c r="C69" i="43"/>
  <c r="Q138" i="47" l="1"/>
  <c r="R138" i="47" s="1"/>
  <c r="S138" i="47" s="1"/>
  <c r="K165" i="26"/>
  <c r="L165" i="26" s="1"/>
  <c r="M165" i="26" s="1"/>
  <c r="K165" i="47"/>
  <c r="L165" i="47" s="1"/>
  <c r="M165" i="47"/>
  <c r="T138" i="47"/>
  <c r="E69" i="41"/>
  <c r="V139" i="47"/>
  <c r="E69" i="43"/>
  <c r="X137" i="47"/>
  <c r="N164" i="47"/>
  <c r="N165" i="47" s="1"/>
  <c r="Q139" i="47" l="1"/>
  <c r="R139" i="47" s="1"/>
  <c r="S139" i="47" s="1"/>
  <c r="K166" i="26"/>
  <c r="L166" i="26" s="1"/>
  <c r="M166" i="26"/>
  <c r="H69" i="43"/>
  <c r="J69" i="43" s="1"/>
  <c r="F69" i="43"/>
  <c r="N166" i="47"/>
  <c r="T139" i="47"/>
  <c r="M166" i="47"/>
  <c r="K166" i="47"/>
  <c r="L166" i="47" s="1"/>
  <c r="V140" i="47"/>
  <c r="H69" i="41"/>
  <c r="J69" i="41" s="1"/>
  <c r="F69" i="41"/>
  <c r="X138" i="47"/>
  <c r="Q140" i="47" l="1"/>
  <c r="R140" i="47" s="1"/>
  <c r="S140" i="47"/>
  <c r="K69" i="41"/>
  <c r="C70" i="41"/>
  <c r="N167" i="47"/>
  <c r="K69" i="43"/>
  <c r="C70" i="43"/>
  <c r="T140" i="47"/>
  <c r="X140" i="47"/>
  <c r="V141" i="47"/>
  <c r="X139" i="47"/>
  <c r="K167" i="26"/>
  <c r="L167" i="26" s="1"/>
  <c r="M167" i="26"/>
  <c r="M167" i="47"/>
  <c r="K167" i="47"/>
  <c r="L167" i="47" s="1"/>
  <c r="K168" i="26" l="1"/>
  <c r="L168" i="26" s="1"/>
  <c r="M168" i="26" s="1"/>
  <c r="V142" i="47"/>
  <c r="K168" i="47"/>
  <c r="L168" i="47" s="1"/>
  <c r="M168" i="47" s="1"/>
  <c r="E70" i="41"/>
  <c r="Q141" i="47"/>
  <c r="R141" i="47" s="1"/>
  <c r="S141" i="47" s="1"/>
  <c r="E70" i="43"/>
  <c r="Q142" i="47" l="1"/>
  <c r="R142" i="47" s="1"/>
  <c r="S142" i="47" s="1"/>
  <c r="K169" i="47"/>
  <c r="L169" i="47" s="1"/>
  <c r="M169" i="47"/>
  <c r="K169" i="26"/>
  <c r="L169" i="26" s="1"/>
  <c r="M169" i="26" s="1"/>
  <c r="H70" i="41"/>
  <c r="J70" i="41" s="1"/>
  <c r="F70" i="41"/>
  <c r="H70" i="43"/>
  <c r="J70" i="43" s="1"/>
  <c r="F70" i="43"/>
  <c r="X141" i="47"/>
  <c r="V143" i="47"/>
  <c r="N168" i="47"/>
  <c r="N169" i="47" s="1"/>
  <c r="T141" i="47"/>
  <c r="T142" i="47" s="1"/>
  <c r="K170" i="26" l="1"/>
  <c r="L170" i="26" s="1"/>
  <c r="M170" i="26" s="1"/>
  <c r="Q143" i="47"/>
  <c r="R143" i="47" s="1"/>
  <c r="S143" i="47" s="1"/>
  <c r="K70" i="41"/>
  <c r="C71" i="41"/>
  <c r="N170" i="47"/>
  <c r="V144" i="47"/>
  <c r="X142" i="47"/>
  <c r="K70" i="43"/>
  <c r="C71" i="43"/>
  <c r="M170" i="47"/>
  <c r="K170" i="47"/>
  <c r="L170" i="47" s="1"/>
  <c r="Q144" i="47" l="1"/>
  <c r="R144" i="47" s="1"/>
  <c r="S144" i="47" s="1"/>
  <c r="K171" i="26"/>
  <c r="L171" i="26" s="1"/>
  <c r="M171" i="26" s="1"/>
  <c r="K171" i="47"/>
  <c r="L171" i="47" s="1"/>
  <c r="M171" i="47" s="1"/>
  <c r="E71" i="41"/>
  <c r="E71" i="43"/>
  <c r="X143" i="47"/>
  <c r="V145" i="47"/>
  <c r="T143" i="47"/>
  <c r="Q145" i="47" l="1"/>
  <c r="R145" i="47" s="1"/>
  <c r="S145" i="47" s="1"/>
  <c r="K172" i="47"/>
  <c r="L172" i="47" s="1"/>
  <c r="M172" i="47" s="1"/>
  <c r="K172" i="26"/>
  <c r="L172" i="26" s="1"/>
  <c r="M172" i="26" s="1"/>
  <c r="T144" i="47"/>
  <c r="T145" i="47" s="1"/>
  <c r="X144" i="47"/>
  <c r="H71" i="41"/>
  <c r="J71" i="41" s="1"/>
  <c r="F71" i="41"/>
  <c r="N171" i="47"/>
  <c r="V146" i="47"/>
  <c r="H71" i="43"/>
  <c r="J71" i="43" s="1"/>
  <c r="F71" i="43"/>
  <c r="K173" i="26" l="1"/>
  <c r="L173" i="26" s="1"/>
  <c r="M173" i="26"/>
  <c r="K173" i="47"/>
  <c r="L173" i="47" s="1"/>
  <c r="M173" i="47" s="1"/>
  <c r="Q146" i="47"/>
  <c r="R146" i="47" s="1"/>
  <c r="S146" i="47" s="1"/>
  <c r="K71" i="43"/>
  <c r="C72" i="43"/>
  <c r="V147" i="47"/>
  <c r="X145" i="47"/>
  <c r="N172" i="47"/>
  <c r="N173" i="47" s="1"/>
  <c r="K71" i="41"/>
  <c r="C72" i="41"/>
  <c r="Q147" i="47" l="1"/>
  <c r="R147" i="47" s="1"/>
  <c r="S147" i="47" s="1"/>
  <c r="K174" i="47"/>
  <c r="L174" i="47" s="1"/>
  <c r="M174" i="47" s="1"/>
  <c r="N174" i="47"/>
  <c r="X146" i="47"/>
  <c r="T146" i="47"/>
  <c r="T147" i="47" s="1"/>
  <c r="M174" i="26"/>
  <c r="K174" i="26"/>
  <c r="L174" i="26" s="1"/>
  <c r="V148" i="47"/>
  <c r="E72" i="41"/>
  <c r="E72" i="43"/>
  <c r="K175" i="47" l="1"/>
  <c r="L175" i="47" s="1"/>
  <c r="M175" i="47" s="1"/>
  <c r="Q148" i="47"/>
  <c r="R148" i="47" s="1"/>
  <c r="S148" i="47"/>
  <c r="H72" i="43"/>
  <c r="J72" i="43" s="1"/>
  <c r="F72" i="43"/>
  <c r="T148" i="47"/>
  <c r="X148" i="47"/>
  <c r="V149" i="47"/>
  <c r="H72" i="41"/>
  <c r="J72" i="41" s="1"/>
  <c r="F72" i="41"/>
  <c r="X147" i="47"/>
  <c r="K175" i="26"/>
  <c r="L175" i="26" s="1"/>
  <c r="M175" i="26" s="1"/>
  <c r="K176" i="26" l="1"/>
  <c r="L176" i="26" s="1"/>
  <c r="M176" i="26"/>
  <c r="K176" i="47"/>
  <c r="L176" i="47" s="1"/>
  <c r="M176" i="47"/>
  <c r="Q149" i="47"/>
  <c r="R149" i="47" s="1"/>
  <c r="S149" i="47" s="1"/>
  <c r="T149" i="47"/>
  <c r="K72" i="43"/>
  <c r="C73" i="43"/>
  <c r="N175" i="47"/>
  <c r="N176" i="47" s="1"/>
  <c r="K72" i="41"/>
  <c r="C73" i="41"/>
  <c r="V150" i="47"/>
  <c r="S150" i="47" l="1"/>
  <c r="Q150" i="47"/>
  <c r="R150" i="47" s="1"/>
  <c r="V151" i="47"/>
  <c r="X150" i="47"/>
  <c r="K177" i="47"/>
  <c r="L177" i="47" s="1"/>
  <c r="M177" i="47" s="1"/>
  <c r="E73" i="41"/>
  <c r="E73" i="43"/>
  <c r="K177" i="26"/>
  <c r="L177" i="26" s="1"/>
  <c r="M177" i="26" s="1"/>
  <c r="X149" i="47"/>
  <c r="T150" i="47"/>
  <c r="N177" i="47"/>
  <c r="M178" i="26" l="1"/>
  <c r="K178" i="26"/>
  <c r="L178" i="26" s="1"/>
  <c r="K178" i="47"/>
  <c r="L178" i="47" s="1"/>
  <c r="M178" i="47"/>
  <c r="N178" i="47"/>
  <c r="V152" i="47"/>
  <c r="H73" i="41"/>
  <c r="J73" i="41" s="1"/>
  <c r="F73" i="41"/>
  <c r="H73" i="43"/>
  <c r="J73" i="43" s="1"/>
  <c r="F73" i="43"/>
  <c r="Q151" i="47"/>
  <c r="R151" i="47" s="1"/>
  <c r="S151" i="47" s="1"/>
  <c r="Q152" i="47" l="1"/>
  <c r="R152" i="47" s="1"/>
  <c r="S152" i="47" s="1"/>
  <c r="K179" i="47"/>
  <c r="L179" i="47" s="1"/>
  <c r="M179" i="47" s="1"/>
  <c r="V153" i="47"/>
  <c r="K73" i="43"/>
  <c r="C74" i="43"/>
  <c r="X151" i="47"/>
  <c r="T151" i="47"/>
  <c r="K73" i="41"/>
  <c r="C74" i="41"/>
  <c r="K179" i="26"/>
  <c r="L179" i="26" s="1"/>
  <c r="M179" i="26" s="1"/>
  <c r="K180" i="47" l="1"/>
  <c r="L180" i="47" s="1"/>
  <c r="M180" i="47" s="1"/>
  <c r="K180" i="26"/>
  <c r="L180" i="26" s="1"/>
  <c r="M180" i="26" s="1"/>
  <c r="Q153" i="47"/>
  <c r="R153" i="47" s="1"/>
  <c r="S153" i="47" s="1"/>
  <c r="V154" i="47"/>
  <c r="E74" i="41"/>
  <c r="G2" i="41"/>
  <c r="K2" i="41" s="1"/>
  <c r="C75" i="41"/>
  <c r="N179" i="47"/>
  <c r="N180" i="47" s="1"/>
  <c r="X152" i="47"/>
  <c r="T152" i="47"/>
  <c r="T153" i="47" s="1"/>
  <c r="E74" i="43"/>
  <c r="G2" i="43"/>
  <c r="K2" i="43" s="1"/>
  <c r="C75" i="43"/>
  <c r="K181" i="26" l="1"/>
  <c r="L181" i="26" s="1"/>
  <c r="M181" i="26" s="1"/>
  <c r="Q154" i="47"/>
  <c r="R154" i="47" s="1"/>
  <c r="S154" i="47" s="1"/>
  <c r="K181" i="47"/>
  <c r="L181" i="47" s="1"/>
  <c r="M181" i="47" s="1"/>
  <c r="H74" i="43"/>
  <c r="J74" i="43" s="1"/>
  <c r="J75" i="43" s="1"/>
  <c r="F74" i="43"/>
  <c r="K74" i="43" s="1"/>
  <c r="D16" i="44" s="1"/>
  <c r="T154" i="47"/>
  <c r="G4" i="43"/>
  <c r="G4" i="41"/>
  <c r="X153" i="47"/>
  <c r="V155" i="47"/>
  <c r="C76" i="41"/>
  <c r="C14" i="42"/>
  <c r="C15" i="42" s="1"/>
  <c r="C76" i="43"/>
  <c r="C14" i="44"/>
  <c r="C15" i="44" s="1"/>
  <c r="H74" i="41"/>
  <c r="J74" i="41" s="1"/>
  <c r="J75" i="41" s="1"/>
  <c r="F74" i="41"/>
  <c r="K74" i="41" s="1"/>
  <c r="D16" i="42" s="1"/>
  <c r="K182" i="47" l="1"/>
  <c r="L182" i="47" s="1"/>
  <c r="M182" i="47"/>
  <c r="Q155" i="47"/>
  <c r="R155" i="47" s="1"/>
  <c r="S155" i="47" s="1"/>
  <c r="K182" i="26"/>
  <c r="L182" i="26" s="1"/>
  <c r="M182" i="26"/>
  <c r="J76" i="43"/>
  <c r="G14" i="44" s="1"/>
  <c r="G15" i="44" s="1"/>
  <c r="E14" i="44"/>
  <c r="F14" i="44" s="1"/>
  <c r="F15" i="44" s="1"/>
  <c r="X154" i="47"/>
  <c r="V156" i="47"/>
  <c r="J76" i="41"/>
  <c r="G14" i="42" s="1"/>
  <c r="G15" i="42" s="1"/>
  <c r="E14" i="42"/>
  <c r="F14" i="42" s="1"/>
  <c r="F15" i="42" s="1"/>
  <c r="N181" i="47"/>
  <c r="N182" i="47" s="1"/>
  <c r="T155" i="47"/>
  <c r="Q156" i="47" l="1"/>
  <c r="R156" i="47" s="1"/>
  <c r="S156" i="47"/>
  <c r="K183" i="26"/>
  <c r="L183" i="26" s="1"/>
  <c r="M183" i="26"/>
  <c r="C38" i="47"/>
  <c r="C40" i="47" s="1"/>
  <c r="X155" i="47"/>
  <c r="T156" i="47"/>
  <c r="X156" i="47"/>
  <c r="V157" i="47"/>
  <c r="K183" i="47"/>
  <c r="L183" i="47" s="1"/>
  <c r="M183" i="47" s="1"/>
  <c r="F7" i="47"/>
  <c r="K184" i="47" l="1"/>
  <c r="L184" i="47" s="1"/>
  <c r="M184" i="47" s="1"/>
  <c r="N183" i="47"/>
  <c r="N184" i="47" s="1"/>
  <c r="V158" i="47"/>
  <c r="Q157" i="47"/>
  <c r="R157" i="47" s="1"/>
  <c r="S157" i="47" s="1"/>
  <c r="K184" i="26"/>
  <c r="L184" i="26" s="1"/>
  <c r="M184" i="26" s="1"/>
  <c r="M185" i="47" l="1"/>
  <c r="K185" i="47"/>
  <c r="L185" i="47" s="1"/>
  <c r="K185" i="26"/>
  <c r="L185" i="26" s="1"/>
  <c r="M185" i="26" s="1"/>
  <c r="Q158" i="47"/>
  <c r="R158" i="47" s="1"/>
  <c r="S158" i="47" s="1"/>
  <c r="X157" i="47"/>
  <c r="V159" i="47"/>
  <c r="N185" i="47"/>
  <c r="T157" i="47"/>
  <c r="S159" i="47" l="1"/>
  <c r="Q159" i="47"/>
  <c r="R159" i="47" s="1"/>
  <c r="F13" i="47"/>
  <c r="K186" i="26"/>
  <c r="L186" i="26" s="1"/>
  <c r="M186" i="26" s="1"/>
  <c r="X158" i="47"/>
  <c r="F14" i="47"/>
  <c r="F15" i="47" s="1"/>
  <c r="K186" i="47"/>
  <c r="L186" i="47" s="1"/>
  <c r="M186" i="47"/>
  <c r="V160" i="47"/>
  <c r="T158" i="47"/>
  <c r="M187" i="26" l="1"/>
  <c r="K187" i="26"/>
  <c r="L187" i="26" s="1"/>
  <c r="Q160" i="47"/>
  <c r="R160" i="47" s="1"/>
  <c r="S160" i="47"/>
  <c r="N186" i="47"/>
  <c r="N187" i="47" s="1"/>
  <c r="T159" i="47"/>
  <c r="T160" i="47" s="1"/>
  <c r="C29" i="47"/>
  <c r="C31" i="47" s="1"/>
  <c r="X160" i="47"/>
  <c r="V161" i="47"/>
  <c r="X159" i="47"/>
  <c r="K187" i="47"/>
  <c r="L187" i="47" s="1"/>
  <c r="M187" i="47" s="1"/>
  <c r="M188" i="47" l="1"/>
  <c r="K188" i="47"/>
  <c r="L188" i="47" s="1"/>
  <c r="V162" i="47"/>
  <c r="N188" i="47"/>
  <c r="Q161" i="47"/>
  <c r="R161" i="47" s="1"/>
  <c r="S161" i="47" s="1"/>
  <c r="K188" i="26"/>
  <c r="L188" i="26" s="1"/>
  <c r="M188" i="26" s="1"/>
  <c r="K189" i="26" l="1"/>
  <c r="L189" i="26" s="1"/>
  <c r="M189" i="26" s="1"/>
  <c r="Q162" i="47"/>
  <c r="R162" i="47" s="1"/>
  <c r="S162" i="47" s="1"/>
  <c r="K189" i="47"/>
  <c r="L189" i="47" s="1"/>
  <c r="M189" i="47" s="1"/>
  <c r="X161" i="47"/>
  <c r="V163" i="47"/>
  <c r="T161" i="47"/>
  <c r="T162" i="47" s="1"/>
  <c r="K190" i="47" l="1"/>
  <c r="L190" i="47" s="1"/>
  <c r="M190" i="47" s="1"/>
  <c r="Q163" i="47"/>
  <c r="R163" i="47" s="1"/>
  <c r="S163" i="47" s="1"/>
  <c r="M190" i="26"/>
  <c r="K190" i="26"/>
  <c r="L190" i="26" s="1"/>
  <c r="V164" i="47"/>
  <c r="N189" i="47"/>
  <c r="X162" i="47"/>
  <c r="Q164" i="47" l="1"/>
  <c r="R164" i="47" s="1"/>
  <c r="S164" i="47"/>
  <c r="K191" i="47"/>
  <c r="L191" i="47" s="1"/>
  <c r="M191" i="47" s="1"/>
  <c r="N190" i="47"/>
  <c r="N191" i="47" s="1"/>
  <c r="X164" i="47"/>
  <c r="V165" i="47"/>
  <c r="K191" i="26"/>
  <c r="L191" i="26" s="1"/>
  <c r="M191" i="26" s="1"/>
  <c r="X163" i="47"/>
  <c r="T163" i="47"/>
  <c r="T164" i="47" s="1"/>
  <c r="K192" i="26" l="1"/>
  <c r="L192" i="26" s="1"/>
  <c r="M192" i="26"/>
  <c r="K192" i="47"/>
  <c r="L192" i="47" s="1"/>
  <c r="M192" i="47" s="1"/>
  <c r="N192" i="47"/>
  <c r="V166" i="47"/>
  <c r="X165" i="47"/>
  <c r="S165" i="47"/>
  <c r="Q165" i="47"/>
  <c r="R165" i="47" s="1"/>
  <c r="T165" i="47"/>
  <c r="K193" i="47" l="1"/>
  <c r="L193" i="47" s="1"/>
  <c r="M193" i="47" s="1"/>
  <c r="V167" i="47"/>
  <c r="K193" i="26"/>
  <c r="L193" i="26" s="1"/>
  <c r="M193" i="26" s="1"/>
  <c r="Q166" i="47"/>
  <c r="R166" i="47" s="1"/>
  <c r="S166" i="47" s="1"/>
  <c r="Q167" i="47" l="1"/>
  <c r="R167" i="47" s="1"/>
  <c r="S167" i="47" s="1"/>
  <c r="K194" i="26"/>
  <c r="L194" i="26" s="1"/>
  <c r="M194" i="26" s="1"/>
  <c r="K194" i="47"/>
  <c r="L194" i="47" s="1"/>
  <c r="M194" i="47"/>
  <c r="X166" i="47"/>
  <c r="T166" i="47"/>
  <c r="T167" i="47" s="1"/>
  <c r="V168" i="47"/>
  <c r="N193" i="47"/>
  <c r="N194" i="47" s="1"/>
  <c r="K195" i="26" l="1"/>
  <c r="L195" i="26" s="1"/>
  <c r="M195" i="26" s="1"/>
  <c r="Q168" i="47"/>
  <c r="R168" i="47" s="1"/>
  <c r="S168" i="47"/>
  <c r="T168" i="47"/>
  <c r="K195" i="47"/>
  <c r="L195" i="47" s="1"/>
  <c r="M195" i="47" s="1"/>
  <c r="V169" i="47"/>
  <c r="X167" i="47"/>
  <c r="K196" i="47" l="1"/>
  <c r="L196" i="47" s="1"/>
  <c r="M196" i="47" s="1"/>
  <c r="K196" i="26"/>
  <c r="L196" i="26" s="1"/>
  <c r="M196" i="26" s="1"/>
  <c r="Q169" i="47"/>
  <c r="R169" i="47" s="1"/>
  <c r="S169" i="47" s="1"/>
  <c r="N195" i="47"/>
  <c r="N196" i="47" s="1"/>
  <c r="V170" i="47"/>
  <c r="X168" i="47"/>
  <c r="Q170" i="47" l="1"/>
  <c r="R170" i="47" s="1"/>
  <c r="S170" i="47" s="1"/>
  <c r="K197" i="26"/>
  <c r="L197" i="26" s="1"/>
  <c r="M197" i="26" s="1"/>
  <c r="K197" i="47"/>
  <c r="L197" i="47" s="1"/>
  <c r="M197" i="47" s="1"/>
  <c r="T169" i="47"/>
  <c r="T170" i="47" s="1"/>
  <c r="N197" i="47"/>
  <c r="X169" i="47"/>
  <c r="V171" i="47"/>
  <c r="K198" i="47" l="1"/>
  <c r="L198" i="47" s="1"/>
  <c r="M198" i="47" s="1"/>
  <c r="K198" i="26"/>
  <c r="L198" i="26" s="1"/>
  <c r="M198" i="26"/>
  <c r="Q171" i="47"/>
  <c r="R171" i="47" s="1"/>
  <c r="S171" i="47" s="1"/>
  <c r="X170" i="47"/>
  <c r="V172" i="47"/>
  <c r="K199" i="47" l="1"/>
  <c r="L199" i="47" s="1"/>
  <c r="M199" i="47" s="1"/>
  <c r="Q172" i="47"/>
  <c r="R172" i="47" s="1"/>
  <c r="S172" i="47" s="1"/>
  <c r="X171" i="47"/>
  <c r="N198" i="47"/>
  <c r="N199" i="47" s="1"/>
  <c r="K199" i="26"/>
  <c r="L199" i="26" s="1"/>
  <c r="M199" i="26" s="1"/>
  <c r="T171" i="47"/>
  <c r="V173" i="47"/>
  <c r="K200" i="26" l="1"/>
  <c r="L200" i="26" s="1"/>
  <c r="M200" i="26" s="1"/>
  <c r="Q173" i="47"/>
  <c r="R173" i="47" s="1"/>
  <c r="S173" i="47" s="1"/>
  <c r="K200" i="47"/>
  <c r="L200" i="47" s="1"/>
  <c r="M200" i="47" s="1"/>
  <c r="N200" i="47"/>
  <c r="V174" i="47"/>
  <c r="X172" i="47"/>
  <c r="T172" i="47"/>
  <c r="T173" i="47" s="1"/>
  <c r="K201" i="47" l="1"/>
  <c r="L201" i="47" s="1"/>
  <c r="M201" i="47" s="1"/>
  <c r="Q174" i="47"/>
  <c r="R174" i="47" s="1"/>
  <c r="S174" i="47" s="1"/>
  <c r="K201" i="26"/>
  <c r="L201" i="26" s="1"/>
  <c r="M201" i="26" s="1"/>
  <c r="V175" i="47"/>
  <c r="N201" i="47"/>
  <c r="X173" i="47"/>
  <c r="K202" i="26" l="1"/>
  <c r="L202" i="26" s="1"/>
  <c r="M202" i="26" s="1"/>
  <c r="Q175" i="47"/>
  <c r="R175" i="47" s="1"/>
  <c r="S175" i="47" s="1"/>
  <c r="K202" i="47"/>
  <c r="L202" i="47" s="1"/>
  <c r="M202" i="47" s="1"/>
  <c r="X174" i="47"/>
  <c r="V176" i="47"/>
  <c r="N202" i="47"/>
  <c r="T174" i="47"/>
  <c r="T175" i="47" s="1"/>
  <c r="Q176" i="47" l="1"/>
  <c r="R176" i="47" s="1"/>
  <c r="S176" i="47" s="1"/>
  <c r="K203" i="47"/>
  <c r="L203" i="47" s="1"/>
  <c r="M203" i="47" s="1"/>
  <c r="K203" i="26"/>
  <c r="L203" i="26" s="1"/>
  <c r="M203" i="26" s="1"/>
  <c r="N203" i="47"/>
  <c r="V177" i="47"/>
  <c r="T176" i="47"/>
  <c r="X175" i="47"/>
  <c r="K204" i="26" l="1"/>
  <c r="L204" i="26" s="1"/>
  <c r="M204" i="26" s="1"/>
  <c r="K204" i="47"/>
  <c r="L204" i="47" s="1"/>
  <c r="M204" i="47" s="1"/>
  <c r="Q177" i="47"/>
  <c r="R177" i="47" s="1"/>
  <c r="S177" i="47" s="1"/>
  <c r="V178" i="47"/>
  <c r="X176" i="47"/>
  <c r="K205" i="47" l="1"/>
  <c r="L205" i="47" s="1"/>
  <c r="M205" i="47" s="1"/>
  <c r="Q178" i="47"/>
  <c r="R178" i="47" s="1"/>
  <c r="S178" i="47" s="1"/>
  <c r="K205" i="26"/>
  <c r="L205" i="26" s="1"/>
  <c r="M205" i="26" s="1"/>
  <c r="V179" i="47"/>
  <c r="X177" i="47"/>
  <c r="T177" i="47"/>
  <c r="N204" i="47"/>
  <c r="N205" i="47" s="1"/>
  <c r="K206" i="26" l="1"/>
  <c r="L206" i="26" s="1"/>
  <c r="M206" i="26"/>
  <c r="Q179" i="47"/>
  <c r="R179" i="47" s="1"/>
  <c r="S179" i="47" s="1"/>
  <c r="K206" i="47"/>
  <c r="L206" i="47" s="1"/>
  <c r="M206" i="47" s="1"/>
  <c r="V180" i="47"/>
  <c r="X178" i="47"/>
  <c r="T178" i="47"/>
  <c r="T179" i="47" s="1"/>
  <c r="K207" i="47" l="1"/>
  <c r="L207" i="47" s="1"/>
  <c r="M207" i="47" s="1"/>
  <c r="Q180" i="47"/>
  <c r="R180" i="47" s="1"/>
  <c r="S180" i="47" s="1"/>
  <c r="X179" i="47"/>
  <c r="V181" i="47"/>
  <c r="N206" i="47"/>
  <c r="N207" i="47" s="1"/>
  <c r="K207" i="26"/>
  <c r="L207" i="26" s="1"/>
  <c r="M207" i="26"/>
  <c r="Q181" i="47" l="1"/>
  <c r="R181" i="47" s="1"/>
  <c r="S181" i="47"/>
  <c r="K208" i="47"/>
  <c r="L208" i="47" s="1"/>
  <c r="M208" i="47" s="1"/>
  <c r="V182" i="47"/>
  <c r="X181" i="47"/>
  <c r="N208" i="47"/>
  <c r="X180" i="47"/>
  <c r="T180" i="47"/>
  <c r="T181" i="47" s="1"/>
  <c r="K208" i="26"/>
  <c r="L208" i="26" s="1"/>
  <c r="M208" i="26" s="1"/>
  <c r="K209" i="47" l="1"/>
  <c r="L209" i="47" s="1"/>
  <c r="M209" i="47" s="1"/>
  <c r="K209" i="26"/>
  <c r="L209" i="26" s="1"/>
  <c r="M209" i="26" s="1"/>
  <c r="N209" i="47"/>
  <c r="Q182" i="47"/>
  <c r="R182" i="47" s="1"/>
  <c r="S182" i="47" s="1"/>
  <c r="V183" i="47"/>
  <c r="K210" i="47" l="1"/>
  <c r="L210" i="47" s="1"/>
  <c r="M210" i="47"/>
  <c r="Q183" i="47"/>
  <c r="R183" i="47" s="1"/>
  <c r="S183" i="47" s="1"/>
  <c r="K210" i="26"/>
  <c r="L210" i="26" s="1"/>
  <c r="M210" i="26" s="1"/>
  <c r="V184" i="47"/>
  <c r="N210" i="47"/>
  <c r="T182" i="47"/>
  <c r="X182" i="47"/>
  <c r="M211" i="26" l="1"/>
  <c r="K211" i="26"/>
  <c r="L211" i="26" s="1"/>
  <c r="Q184" i="47"/>
  <c r="R184" i="47" s="1"/>
  <c r="S184" i="47" s="1"/>
  <c r="X183" i="47"/>
  <c r="K211" i="47"/>
  <c r="L211" i="47" s="1"/>
  <c r="M211" i="47" s="1"/>
  <c r="V185" i="47"/>
  <c r="T183" i="47"/>
  <c r="T184" i="47" s="1"/>
  <c r="K212" i="47" l="1"/>
  <c r="L212" i="47" s="1"/>
  <c r="M212" i="47" s="1"/>
  <c r="Q185" i="47"/>
  <c r="R185" i="47" s="1"/>
  <c r="S185" i="47"/>
  <c r="X184" i="47"/>
  <c r="N211" i="47"/>
  <c r="N212" i="47" s="1"/>
  <c r="K212" i="26"/>
  <c r="L212" i="26" s="1"/>
  <c r="M212" i="26" s="1"/>
  <c r="V186" i="47"/>
  <c r="X185" i="47"/>
  <c r="T185" i="47"/>
  <c r="K213" i="26" l="1"/>
  <c r="L213" i="26" s="1"/>
  <c r="M213" i="26" s="1"/>
  <c r="K213" i="47"/>
  <c r="L213" i="47" s="1"/>
  <c r="M213" i="47" s="1"/>
  <c r="Q186" i="47"/>
  <c r="R186" i="47" s="1"/>
  <c r="S186" i="47" s="1"/>
  <c r="V187" i="47"/>
  <c r="Q187" i="47" l="1"/>
  <c r="R187" i="47" s="1"/>
  <c r="S187" i="47" s="1"/>
  <c r="K214" i="47"/>
  <c r="L214" i="47" s="1"/>
  <c r="M214" i="47" s="1"/>
  <c r="K214" i="26"/>
  <c r="L214" i="26" s="1"/>
  <c r="M214" i="26" s="1"/>
  <c r="T186" i="47"/>
  <c r="T187" i="47" s="1"/>
  <c r="N213" i="47"/>
  <c r="N214" i="47" s="1"/>
  <c r="X186" i="47"/>
  <c r="V188" i="47"/>
  <c r="K215" i="26" l="1"/>
  <c r="L215" i="26" s="1"/>
  <c r="M215" i="26" s="1"/>
  <c r="K215" i="47"/>
  <c r="L215" i="47" s="1"/>
  <c r="M215" i="47" s="1"/>
  <c r="Q188" i="47"/>
  <c r="R188" i="47" s="1"/>
  <c r="S188" i="47" s="1"/>
  <c r="N215" i="47"/>
  <c r="V189" i="47"/>
  <c r="X187" i="47"/>
  <c r="Q189" i="47" l="1"/>
  <c r="R189" i="47" s="1"/>
  <c r="S189" i="47" s="1"/>
  <c r="K216" i="47"/>
  <c r="L216" i="47" s="1"/>
  <c r="M216" i="47" s="1"/>
  <c r="K216" i="26"/>
  <c r="L216" i="26" s="1"/>
  <c r="M216" i="26" s="1"/>
  <c r="N216" i="47"/>
  <c r="T188" i="47"/>
  <c r="T189" i="47" s="1"/>
  <c r="V190" i="47"/>
  <c r="X188" i="47"/>
  <c r="K217" i="26" l="1"/>
  <c r="L217" i="26" s="1"/>
  <c r="M217" i="26"/>
  <c r="K217" i="47"/>
  <c r="L217" i="47" s="1"/>
  <c r="M217" i="47" s="1"/>
  <c r="Q190" i="47"/>
  <c r="R190" i="47" s="1"/>
  <c r="S190" i="47" s="1"/>
  <c r="X189" i="47"/>
  <c r="V191" i="47"/>
  <c r="Q191" i="47" l="1"/>
  <c r="R191" i="47" s="1"/>
  <c r="S191" i="47" s="1"/>
  <c r="K218" i="47"/>
  <c r="L218" i="47" s="1"/>
  <c r="M218" i="47"/>
  <c r="X190" i="47"/>
  <c r="K218" i="26"/>
  <c r="L218" i="26" s="1"/>
  <c r="M218" i="26" s="1"/>
  <c r="T190" i="47"/>
  <c r="T191" i="47" s="1"/>
  <c r="V192" i="47"/>
  <c r="N217" i="47"/>
  <c r="N218" i="47" s="1"/>
  <c r="M219" i="26" l="1"/>
  <c r="K219" i="26"/>
  <c r="L219" i="26" s="1"/>
  <c r="Q192" i="47"/>
  <c r="R192" i="47" s="1"/>
  <c r="S192" i="47" s="1"/>
  <c r="T192" i="47"/>
  <c r="K219" i="47"/>
  <c r="L219" i="47" s="1"/>
  <c r="M219" i="47" s="1"/>
  <c r="X191" i="47"/>
  <c r="V193" i="47"/>
  <c r="K220" i="47" l="1"/>
  <c r="L220" i="47" s="1"/>
  <c r="M220" i="47" s="1"/>
  <c r="Q193" i="47"/>
  <c r="R193" i="47" s="1"/>
  <c r="S193" i="47" s="1"/>
  <c r="K220" i="26"/>
  <c r="L220" i="26" s="1"/>
  <c r="M220" i="26" s="1"/>
  <c r="T193" i="47"/>
  <c r="X192" i="47"/>
  <c r="N219" i="47"/>
  <c r="V194" i="47"/>
  <c r="K221" i="26" l="1"/>
  <c r="L221" i="26" s="1"/>
  <c r="M221" i="26" s="1"/>
  <c r="Q194" i="47"/>
  <c r="R194" i="47" s="1"/>
  <c r="S194" i="47" s="1"/>
  <c r="K221" i="47"/>
  <c r="L221" i="47" s="1"/>
  <c r="M221" i="47" s="1"/>
  <c r="T194" i="47"/>
  <c r="X193" i="47"/>
  <c r="V195" i="47"/>
  <c r="N220" i="47"/>
  <c r="K222" i="47" l="1"/>
  <c r="L222" i="47" s="1"/>
  <c r="M222" i="47" s="1"/>
  <c r="Q195" i="47"/>
  <c r="R195" i="47" s="1"/>
  <c r="S195" i="47" s="1"/>
  <c r="K222" i="26"/>
  <c r="L222" i="26" s="1"/>
  <c r="M222" i="26" s="1"/>
  <c r="T195" i="47"/>
  <c r="N221" i="47"/>
  <c r="N222" i="47" s="1"/>
  <c r="X194" i="47"/>
  <c r="V196" i="47"/>
  <c r="K223" i="26" l="1"/>
  <c r="L223" i="26" s="1"/>
  <c r="M223" i="26"/>
  <c r="Q196" i="47"/>
  <c r="R196" i="47" s="1"/>
  <c r="S196" i="47" s="1"/>
  <c r="K223" i="47"/>
  <c r="L223" i="47" s="1"/>
  <c r="M223" i="47" s="1"/>
  <c r="T196" i="47"/>
  <c r="X195" i="47"/>
  <c r="V197" i="47"/>
  <c r="M224" i="47" l="1"/>
  <c r="K224" i="47"/>
  <c r="L224" i="47" s="1"/>
  <c r="Q197" i="47"/>
  <c r="R197" i="47" s="1"/>
  <c r="S197" i="47"/>
  <c r="T197" i="47"/>
  <c r="N223" i="47"/>
  <c r="N224" i="47" s="1"/>
  <c r="X196" i="47"/>
  <c r="K224" i="26"/>
  <c r="L224" i="26" s="1"/>
  <c r="M224" i="26" s="1"/>
  <c r="V198" i="47"/>
  <c r="X197" i="47"/>
  <c r="K225" i="26" l="1"/>
  <c r="L225" i="26" s="1"/>
  <c r="M225" i="26" s="1"/>
  <c r="Q198" i="47"/>
  <c r="R198" i="47" s="1"/>
  <c r="S198" i="47" s="1"/>
  <c r="V199" i="47"/>
  <c r="K225" i="47"/>
  <c r="L225" i="47" s="1"/>
  <c r="M225" i="47" s="1"/>
  <c r="K226" i="26" l="1"/>
  <c r="L226" i="26" s="1"/>
  <c r="M226" i="26" s="1"/>
  <c r="K226" i="47"/>
  <c r="L226" i="47" s="1"/>
  <c r="M226" i="47" s="1"/>
  <c r="Q199" i="47"/>
  <c r="R199" i="47" s="1"/>
  <c r="S199" i="47" s="1"/>
  <c r="X198" i="47"/>
  <c r="N225" i="47"/>
  <c r="N226" i="47" s="1"/>
  <c r="V200" i="47"/>
  <c r="T198" i="47"/>
  <c r="K227" i="47" l="1"/>
  <c r="L227" i="47" s="1"/>
  <c r="M227" i="47" s="1"/>
  <c r="Q200" i="47"/>
  <c r="R200" i="47" s="1"/>
  <c r="S200" i="47" s="1"/>
  <c r="K227" i="26"/>
  <c r="L227" i="26" s="1"/>
  <c r="M227" i="26" s="1"/>
  <c r="N227" i="47"/>
  <c r="T199" i="47"/>
  <c r="T200" i="47" s="1"/>
  <c r="X199" i="47"/>
  <c r="V201" i="47"/>
  <c r="K228" i="26" l="1"/>
  <c r="L228" i="26" s="1"/>
  <c r="M228" i="26"/>
  <c r="Q201" i="47"/>
  <c r="R201" i="47" s="1"/>
  <c r="S201" i="47"/>
  <c r="K228" i="47"/>
  <c r="L228" i="47" s="1"/>
  <c r="M228" i="47" s="1"/>
  <c r="T201" i="47"/>
  <c r="X200" i="47"/>
  <c r="V202" i="47"/>
  <c r="X201" i="47"/>
  <c r="M229" i="47" l="1"/>
  <c r="K229" i="47"/>
  <c r="L229" i="47" s="1"/>
  <c r="K229" i="26"/>
  <c r="L229" i="26" s="1"/>
  <c r="M229" i="26" s="1"/>
  <c r="N228" i="47"/>
  <c r="N229" i="47" s="1"/>
  <c r="Q202" i="47"/>
  <c r="R202" i="47" s="1"/>
  <c r="S202" i="47" s="1"/>
  <c r="V203" i="47"/>
  <c r="Q203" i="47" l="1"/>
  <c r="R203" i="47" s="1"/>
  <c r="S203" i="47" s="1"/>
  <c r="K230" i="26"/>
  <c r="L230" i="26" s="1"/>
  <c r="M230" i="26"/>
  <c r="V204" i="47"/>
  <c r="N230" i="47"/>
  <c r="T202" i="47"/>
  <c r="T203" i="47" s="1"/>
  <c r="K230" i="47"/>
  <c r="L230" i="47" s="1"/>
  <c r="M230" i="47"/>
  <c r="X202" i="47"/>
  <c r="S204" i="47" l="1"/>
  <c r="Q204" i="47"/>
  <c r="R204" i="47" s="1"/>
  <c r="T204" i="47"/>
  <c r="V205" i="47"/>
  <c r="X204" i="47"/>
  <c r="X203" i="47"/>
  <c r="K231" i="26"/>
  <c r="L231" i="26" s="1"/>
  <c r="M231" i="26" s="1"/>
  <c r="K231" i="47"/>
  <c r="L231" i="47" s="1"/>
  <c r="M231" i="47" s="1"/>
  <c r="K232" i="47" l="1"/>
  <c r="L232" i="47" s="1"/>
  <c r="M232" i="47" s="1"/>
  <c r="K232" i="26"/>
  <c r="L232" i="26" s="1"/>
  <c r="M232" i="26" s="1"/>
  <c r="Q205" i="47"/>
  <c r="R205" i="47" s="1"/>
  <c r="S205" i="47"/>
  <c r="V206" i="47"/>
  <c r="X205" i="47"/>
  <c r="T205" i="47"/>
  <c r="N231" i="47"/>
  <c r="K233" i="47" l="1"/>
  <c r="L233" i="47" s="1"/>
  <c r="M233" i="47" s="1"/>
  <c r="K233" i="26"/>
  <c r="L233" i="26" s="1"/>
  <c r="M233" i="26" s="1"/>
  <c r="Q206" i="47"/>
  <c r="R206" i="47" s="1"/>
  <c r="S206" i="47" s="1"/>
  <c r="V207" i="47"/>
  <c r="N232" i="47"/>
  <c r="N233" i="47" s="1"/>
  <c r="S207" i="47" l="1"/>
  <c r="Q207" i="47"/>
  <c r="R207" i="47" s="1"/>
  <c r="K234" i="26"/>
  <c r="L234" i="26" s="1"/>
  <c r="M234" i="26" s="1"/>
  <c r="K234" i="47"/>
  <c r="L234" i="47" s="1"/>
  <c r="M234" i="47"/>
  <c r="N234" i="47"/>
  <c r="V208" i="47"/>
  <c r="X207" i="47"/>
  <c r="T206" i="47"/>
  <c r="T207" i="47" s="1"/>
  <c r="X206" i="47"/>
  <c r="K235" i="26" l="1"/>
  <c r="L235" i="26" s="1"/>
  <c r="M235" i="26" s="1"/>
  <c r="V209" i="47"/>
  <c r="K235" i="47"/>
  <c r="L235" i="47" s="1"/>
  <c r="M235" i="47" s="1"/>
  <c r="T208" i="47"/>
  <c r="Q208" i="47"/>
  <c r="R208" i="47" s="1"/>
  <c r="S208" i="47" s="1"/>
  <c r="Q209" i="47" l="1"/>
  <c r="R209" i="47" s="1"/>
  <c r="S209" i="47"/>
  <c r="K236" i="47"/>
  <c r="L236" i="47" s="1"/>
  <c r="M236" i="47"/>
  <c r="K236" i="26"/>
  <c r="L236" i="26" s="1"/>
  <c r="M236" i="26" s="1"/>
  <c r="T209" i="47"/>
  <c r="N235" i="47"/>
  <c r="N236" i="47" s="1"/>
  <c r="X208" i="47"/>
  <c r="X209" i="47"/>
  <c r="V210" i="47"/>
  <c r="K237" i="26" l="1"/>
  <c r="L237" i="26" s="1"/>
  <c r="M237" i="26"/>
  <c r="K237" i="47"/>
  <c r="L237" i="47" s="1"/>
  <c r="M237" i="47" s="1"/>
  <c r="V211" i="47"/>
  <c r="X210" i="47"/>
  <c r="S210" i="47"/>
  <c r="Q210" i="47"/>
  <c r="R210" i="47" s="1"/>
  <c r="T210" i="47"/>
  <c r="K238" i="47" l="1"/>
  <c r="L238" i="47" s="1"/>
  <c r="M238" i="47"/>
  <c r="V212" i="47"/>
  <c r="X211" i="47"/>
  <c r="T211" i="47"/>
  <c r="K238" i="26"/>
  <c r="L238" i="26" s="1"/>
  <c r="M238" i="26" s="1"/>
  <c r="S211" i="47"/>
  <c r="Q211" i="47"/>
  <c r="R211" i="47" s="1"/>
  <c r="N237" i="47"/>
  <c r="N238" i="47" s="1"/>
  <c r="K239" i="26" l="1"/>
  <c r="L239" i="26" s="1"/>
  <c r="M239" i="26" s="1"/>
  <c r="Q212" i="47"/>
  <c r="R212" i="47" s="1"/>
  <c r="S212" i="47" s="1"/>
  <c r="V213" i="47"/>
  <c r="K239" i="47"/>
  <c r="L239" i="47" s="1"/>
  <c r="M239" i="47" s="1"/>
  <c r="T212" i="47"/>
  <c r="K240" i="47" l="1"/>
  <c r="L240" i="47" s="1"/>
  <c r="M240" i="47"/>
  <c r="Q213" i="47"/>
  <c r="R213" i="47" s="1"/>
  <c r="S213" i="47"/>
  <c r="K240" i="26"/>
  <c r="L240" i="26" s="1"/>
  <c r="M240" i="26"/>
  <c r="T213" i="47"/>
  <c r="X212" i="47"/>
  <c r="V214" i="47"/>
  <c r="N239" i="47"/>
  <c r="N240" i="47" s="1"/>
  <c r="S214" i="47" l="1"/>
  <c r="Q214" i="47"/>
  <c r="R214" i="47" s="1"/>
  <c r="T214" i="47"/>
  <c r="V215" i="47"/>
  <c r="X214" i="47"/>
  <c r="K241" i="47"/>
  <c r="L241" i="47" s="1"/>
  <c r="M241" i="47" s="1"/>
  <c r="M241" i="26"/>
  <c r="K241" i="26"/>
  <c r="L241" i="26" s="1"/>
  <c r="X213" i="47"/>
  <c r="K242" i="47" l="1"/>
  <c r="L242" i="47" s="1"/>
  <c r="M242" i="47" s="1"/>
  <c r="K242" i="26"/>
  <c r="L242" i="26" s="1"/>
  <c r="M242" i="26" s="1"/>
  <c r="S215" i="47"/>
  <c r="Q215" i="47"/>
  <c r="R215" i="47" s="1"/>
  <c r="V216" i="47"/>
  <c r="X215" i="47"/>
  <c r="T215" i="47"/>
  <c r="N241" i="47"/>
  <c r="M243" i="47" l="1"/>
  <c r="K243" i="47"/>
  <c r="L243" i="47" s="1"/>
  <c r="K243" i="26"/>
  <c r="L243" i="26" s="1"/>
  <c r="M243" i="26" s="1"/>
  <c r="Q216" i="47"/>
  <c r="R216" i="47" s="1"/>
  <c r="S216" i="47" s="1"/>
  <c r="V217" i="47"/>
  <c r="N242" i="47"/>
  <c r="N243" i="47" s="1"/>
  <c r="Q217" i="47" l="1"/>
  <c r="R217" i="47" s="1"/>
  <c r="S217" i="47"/>
  <c r="K244" i="26"/>
  <c r="L244" i="26" s="1"/>
  <c r="M244" i="26" s="1"/>
  <c r="X217" i="47"/>
  <c r="V218" i="47"/>
  <c r="T216" i="47"/>
  <c r="T217" i="47" s="1"/>
  <c r="X216" i="47"/>
  <c r="K244" i="47"/>
  <c r="L244" i="47" s="1"/>
  <c r="M244" i="47"/>
  <c r="N244" i="47"/>
  <c r="K245" i="26" l="1"/>
  <c r="L245" i="26" s="1"/>
  <c r="M245" i="26" s="1"/>
  <c r="V219" i="47"/>
  <c r="N245" i="47"/>
  <c r="Q218" i="47"/>
  <c r="R218" i="47" s="1"/>
  <c r="S218" i="47" s="1"/>
  <c r="K245" i="47"/>
  <c r="L245" i="47" s="1"/>
  <c r="M245" i="47" s="1"/>
  <c r="K246" i="47" l="1"/>
  <c r="L246" i="47" s="1"/>
  <c r="M246" i="47"/>
  <c r="Q219" i="47"/>
  <c r="R219" i="47" s="1"/>
  <c r="S219" i="47" s="1"/>
  <c r="K246" i="26"/>
  <c r="L246" i="26" s="1"/>
  <c r="M246" i="26" s="1"/>
  <c r="X218" i="47"/>
  <c r="T218" i="47"/>
  <c r="T219" i="47" s="1"/>
  <c r="V220" i="47"/>
  <c r="N246" i="47"/>
  <c r="K247" i="26" l="1"/>
  <c r="L247" i="26" s="1"/>
  <c r="M247" i="26"/>
  <c r="Q220" i="47"/>
  <c r="R220" i="47" s="1"/>
  <c r="S220" i="47" s="1"/>
  <c r="T220" i="47"/>
  <c r="K247" i="47"/>
  <c r="L247" i="47" s="1"/>
  <c r="M247" i="47" s="1"/>
  <c r="X219" i="47"/>
  <c r="V221" i="47"/>
  <c r="K248" i="47" l="1"/>
  <c r="L248" i="47" s="1"/>
  <c r="M248" i="47"/>
  <c r="Q221" i="47"/>
  <c r="R221" i="47" s="1"/>
  <c r="S221" i="47"/>
  <c r="N247" i="47"/>
  <c r="N248" i="47" s="1"/>
  <c r="X220" i="47"/>
  <c r="X221" i="47"/>
  <c r="V222" i="47"/>
  <c r="K248" i="26"/>
  <c r="L248" i="26" s="1"/>
  <c r="M248" i="26" s="1"/>
  <c r="T221" i="47"/>
  <c r="M249" i="26" l="1"/>
  <c r="K249" i="26"/>
  <c r="L249" i="26" s="1"/>
  <c r="V223" i="47"/>
  <c r="Q222" i="47"/>
  <c r="R222" i="47" s="1"/>
  <c r="S222" i="47" s="1"/>
  <c r="K249" i="47"/>
  <c r="L249" i="47" s="1"/>
  <c r="M249" i="47" s="1"/>
  <c r="K250" i="47" l="1"/>
  <c r="L250" i="47" s="1"/>
  <c r="M250" i="47" s="1"/>
  <c r="Q223" i="47"/>
  <c r="R223" i="47" s="1"/>
  <c r="S223" i="47" s="1"/>
  <c r="N249" i="47"/>
  <c r="N250" i="47" s="1"/>
  <c r="K250" i="26"/>
  <c r="L250" i="26" s="1"/>
  <c r="M250" i="26" s="1"/>
  <c r="X222" i="47"/>
  <c r="V224" i="47"/>
  <c r="T222" i="47"/>
  <c r="K251" i="26" l="1"/>
  <c r="L251" i="26" s="1"/>
  <c r="M251" i="26" s="1"/>
  <c r="Q224" i="47"/>
  <c r="R224" i="47" s="1"/>
  <c r="S224" i="47" s="1"/>
  <c r="K251" i="47"/>
  <c r="L251" i="47" s="1"/>
  <c r="M251" i="47" s="1"/>
  <c r="T223" i="47"/>
  <c r="T224" i="47" s="1"/>
  <c r="X223" i="47"/>
  <c r="V225" i="47"/>
  <c r="K252" i="26" l="1"/>
  <c r="L252" i="26" s="1"/>
  <c r="M252" i="26" s="1"/>
  <c r="K252" i="47"/>
  <c r="L252" i="47" s="1"/>
  <c r="M252" i="47" s="1"/>
  <c r="Q225" i="47"/>
  <c r="R225" i="47" s="1"/>
  <c r="S225" i="47"/>
  <c r="T225" i="47"/>
  <c r="N251" i="47"/>
  <c r="N252" i="47" s="1"/>
  <c r="X224" i="47"/>
  <c r="V226" i="47"/>
  <c r="K253" i="26" l="1"/>
  <c r="L253" i="26" s="1"/>
  <c r="M253" i="26" s="1"/>
  <c r="K253" i="47"/>
  <c r="L253" i="47" s="1"/>
  <c r="M253" i="47" s="1"/>
  <c r="N253" i="47"/>
  <c r="Q226" i="47"/>
  <c r="R226" i="47" s="1"/>
  <c r="S226" i="47" s="1"/>
  <c r="V227" i="47"/>
  <c r="X225" i="47"/>
  <c r="S227" i="47" l="1"/>
  <c r="Q227" i="47"/>
  <c r="R227" i="47" s="1"/>
  <c r="K254" i="47"/>
  <c r="L254" i="47" s="1"/>
  <c r="M254" i="47" s="1"/>
  <c r="K254" i="26"/>
  <c r="L254" i="26" s="1"/>
  <c r="M254" i="26" s="1"/>
  <c r="N254" i="47"/>
  <c r="X226" i="47"/>
  <c r="V228" i="47"/>
  <c r="T226" i="47"/>
  <c r="T227" i="47" s="1"/>
  <c r="K255" i="26" l="1"/>
  <c r="L255" i="26" s="1"/>
  <c r="M255" i="26"/>
  <c r="K255" i="47"/>
  <c r="L255" i="47" s="1"/>
  <c r="M255" i="47" s="1"/>
  <c r="T228" i="47"/>
  <c r="X227" i="47"/>
  <c r="V229" i="47"/>
  <c r="Q228" i="47"/>
  <c r="R228" i="47" s="1"/>
  <c r="S228" i="47" s="1"/>
  <c r="Q229" i="47" l="1"/>
  <c r="R229" i="47" s="1"/>
  <c r="S229" i="47"/>
  <c r="K256" i="47"/>
  <c r="L256" i="47" s="1"/>
  <c r="M256" i="47" s="1"/>
  <c r="N255" i="47"/>
  <c r="N256" i="47" s="1"/>
  <c r="X229" i="47"/>
  <c r="V230" i="47"/>
  <c r="T229" i="47"/>
  <c r="K256" i="26"/>
  <c r="L256" i="26" s="1"/>
  <c r="M256" i="26" s="1"/>
  <c r="X228" i="47"/>
  <c r="K257" i="26" l="1"/>
  <c r="L257" i="26" s="1"/>
  <c r="M257" i="26" s="1"/>
  <c r="K257" i="47"/>
  <c r="L257" i="47" s="1"/>
  <c r="M257" i="47" s="1"/>
  <c r="V231" i="47"/>
  <c r="X230" i="47"/>
  <c r="T230" i="47"/>
  <c r="S230" i="47"/>
  <c r="Q230" i="47"/>
  <c r="R230" i="47" s="1"/>
  <c r="K258" i="47" l="1"/>
  <c r="L258" i="47" s="1"/>
  <c r="M258" i="47" s="1"/>
  <c r="K258" i="26"/>
  <c r="L258" i="26" s="1"/>
  <c r="M258" i="26" s="1"/>
  <c r="Q231" i="47"/>
  <c r="R231" i="47" s="1"/>
  <c r="S231" i="47"/>
  <c r="V232" i="47"/>
  <c r="X231" i="47"/>
  <c r="N257" i="47"/>
  <c r="N258" i="47" s="1"/>
  <c r="K259" i="47" l="1"/>
  <c r="L259" i="47" s="1"/>
  <c r="M259" i="47" s="1"/>
  <c r="K259" i="26"/>
  <c r="L259" i="26" s="1"/>
  <c r="M259" i="26" s="1"/>
  <c r="V233" i="47"/>
  <c r="X232" i="47"/>
  <c r="T231" i="47"/>
  <c r="T232" i="47" s="1"/>
  <c r="S232" i="47"/>
  <c r="Q232" i="47"/>
  <c r="R232" i="47" s="1"/>
  <c r="N259" i="47"/>
  <c r="K260" i="26" l="1"/>
  <c r="L260" i="26" s="1"/>
  <c r="M260" i="26" s="1"/>
  <c r="K260" i="47"/>
  <c r="L260" i="47" s="1"/>
  <c r="M260" i="47" s="1"/>
  <c r="Q233" i="47"/>
  <c r="R233" i="47" s="1"/>
  <c r="S233" i="47" s="1"/>
  <c r="N260" i="47"/>
  <c r="V234" i="47"/>
  <c r="K261" i="26" l="1"/>
  <c r="L261" i="26" s="1"/>
  <c r="M261" i="26" s="1"/>
  <c r="Q234" i="47"/>
  <c r="R234" i="47" s="1"/>
  <c r="S234" i="47" s="1"/>
  <c r="K261" i="47"/>
  <c r="L261" i="47" s="1"/>
  <c r="M261" i="47" s="1"/>
  <c r="N261" i="47"/>
  <c r="T233" i="47"/>
  <c r="T234" i="47" s="1"/>
  <c r="X233" i="47"/>
  <c r="V235" i="47"/>
  <c r="Q235" i="47" l="1"/>
  <c r="R235" i="47" s="1"/>
  <c r="S235" i="47" s="1"/>
  <c r="K262" i="47"/>
  <c r="L262" i="47" s="1"/>
  <c r="M262" i="47" s="1"/>
  <c r="K262" i="26"/>
  <c r="L262" i="26" s="1"/>
  <c r="M262" i="26"/>
  <c r="N262" i="47"/>
  <c r="X234" i="47"/>
  <c r="V236" i="47"/>
  <c r="K263" i="47" l="1"/>
  <c r="L263" i="47" s="1"/>
  <c r="M263" i="47" s="1"/>
  <c r="Q236" i="47"/>
  <c r="R236" i="47" s="1"/>
  <c r="S236" i="47" s="1"/>
  <c r="N263" i="47"/>
  <c r="K263" i="26"/>
  <c r="L263" i="26" s="1"/>
  <c r="M263" i="26" s="1"/>
  <c r="V237" i="47"/>
  <c r="T235" i="47"/>
  <c r="X235" i="47"/>
  <c r="Q237" i="47" l="1"/>
  <c r="R237" i="47" s="1"/>
  <c r="S237" i="47" s="1"/>
  <c r="K264" i="26"/>
  <c r="L264" i="26" s="1"/>
  <c r="M264" i="26" s="1"/>
  <c r="K264" i="47"/>
  <c r="L264" i="47" s="1"/>
  <c r="M264" i="47"/>
  <c r="V238" i="47"/>
  <c r="T236" i="47"/>
  <c r="T237" i="47" s="1"/>
  <c r="X236" i="47"/>
  <c r="K265" i="26" l="1"/>
  <c r="L265" i="26" s="1"/>
  <c r="M265" i="26" s="1"/>
  <c r="Q238" i="47"/>
  <c r="R238" i="47" s="1"/>
  <c r="S238" i="47" s="1"/>
  <c r="K265" i="47"/>
  <c r="L265" i="47" s="1"/>
  <c r="M265" i="47" s="1"/>
  <c r="X237" i="47"/>
  <c r="T238" i="47"/>
  <c r="V239" i="47"/>
  <c r="N264" i="47"/>
  <c r="Q239" i="47" l="1"/>
  <c r="R239" i="47" s="1"/>
  <c r="S239" i="47" s="1"/>
  <c r="K266" i="47"/>
  <c r="L266" i="47" s="1"/>
  <c r="M266" i="47" s="1"/>
  <c r="K266" i="26"/>
  <c r="L266" i="26" s="1"/>
  <c r="M266" i="26" s="1"/>
  <c r="N265" i="47"/>
  <c r="N266" i="47" s="1"/>
  <c r="T239" i="47"/>
  <c r="X238" i="47"/>
  <c r="V240" i="47"/>
  <c r="K267" i="26" l="1"/>
  <c r="L267" i="26" s="1"/>
  <c r="M267" i="26" s="1"/>
  <c r="K267" i="47"/>
  <c r="L267" i="47" s="1"/>
  <c r="M267" i="47" s="1"/>
  <c r="Q240" i="47"/>
  <c r="R240" i="47" s="1"/>
  <c r="S240" i="47" s="1"/>
  <c r="X239" i="47"/>
  <c r="V241" i="47"/>
  <c r="K268" i="26" l="1"/>
  <c r="L268" i="26" s="1"/>
  <c r="M268" i="26"/>
  <c r="Q241" i="47"/>
  <c r="R241" i="47" s="1"/>
  <c r="S241" i="47" s="1"/>
  <c r="K268" i="47"/>
  <c r="L268" i="47" s="1"/>
  <c r="M268" i="47" s="1"/>
  <c r="T240" i="47"/>
  <c r="T241" i="47" s="1"/>
  <c r="V242" i="47"/>
  <c r="X240" i="47"/>
  <c r="N267" i="47"/>
  <c r="K269" i="47" l="1"/>
  <c r="L269" i="47" s="1"/>
  <c r="M269" i="47" s="1"/>
  <c r="Q242" i="47"/>
  <c r="R242" i="47" s="1"/>
  <c r="S242" i="47" s="1"/>
  <c r="K269" i="26"/>
  <c r="L269" i="26" s="1"/>
  <c r="M269" i="26" s="1"/>
  <c r="X241" i="47"/>
  <c r="N268" i="47"/>
  <c r="V243" i="47"/>
  <c r="Q243" i="47" l="1"/>
  <c r="R243" i="47" s="1"/>
  <c r="S243" i="47"/>
  <c r="K270" i="26"/>
  <c r="L270" i="26" s="1"/>
  <c r="M270" i="26" s="1"/>
  <c r="K270" i="47"/>
  <c r="L270" i="47" s="1"/>
  <c r="M270" i="47" s="1"/>
  <c r="T242" i="47"/>
  <c r="T243" i="47" s="1"/>
  <c r="X242" i="47"/>
  <c r="V244" i="47"/>
  <c r="X243" i="47"/>
  <c r="N269" i="47"/>
  <c r="K271" i="47" l="1"/>
  <c r="L271" i="47" s="1"/>
  <c r="M271" i="47" s="1"/>
  <c r="K271" i="26"/>
  <c r="L271" i="26" s="1"/>
  <c r="M271" i="26" s="1"/>
  <c r="N270" i="47"/>
  <c r="N271" i="47" s="1"/>
  <c r="Q244" i="47"/>
  <c r="R244" i="47" s="1"/>
  <c r="S244" i="47" s="1"/>
  <c r="V245" i="47"/>
  <c r="Q245" i="47" l="1"/>
  <c r="R245" i="47" s="1"/>
  <c r="S245" i="47" s="1"/>
  <c r="K272" i="26"/>
  <c r="L272" i="26" s="1"/>
  <c r="M272" i="26" s="1"/>
  <c r="K272" i="47"/>
  <c r="L272" i="47" s="1"/>
  <c r="M272" i="47" s="1"/>
  <c r="T244" i="47"/>
  <c r="T245" i="47" s="1"/>
  <c r="N272" i="47"/>
  <c r="X244" i="47"/>
  <c r="V246" i="47"/>
  <c r="K273" i="26" l="1"/>
  <c r="L273" i="26" s="1"/>
  <c r="M273" i="26" s="1"/>
  <c r="K273" i="47"/>
  <c r="L273" i="47" s="1"/>
  <c r="M273" i="47" s="1"/>
  <c r="Q246" i="47"/>
  <c r="R246" i="47" s="1"/>
  <c r="S246" i="47" s="1"/>
  <c r="T246" i="47"/>
  <c r="X245" i="47"/>
  <c r="V247" i="47"/>
  <c r="K274" i="47" l="1"/>
  <c r="L274" i="47" s="1"/>
  <c r="M274" i="47" s="1"/>
  <c r="Q247" i="47"/>
  <c r="R247" i="47" s="1"/>
  <c r="S247" i="47"/>
  <c r="K274" i="26"/>
  <c r="L274" i="26" s="1"/>
  <c r="M274" i="26" s="1"/>
  <c r="T247" i="47"/>
  <c r="N273" i="47"/>
  <c r="N274" i="47" s="1"/>
  <c r="X246" i="47"/>
  <c r="V248" i="47"/>
  <c r="X247" i="47"/>
  <c r="K275" i="26" l="1"/>
  <c r="L275" i="26" s="1"/>
  <c r="M275" i="26" s="1"/>
  <c r="K275" i="47"/>
  <c r="L275" i="47" s="1"/>
  <c r="M275" i="47" s="1"/>
  <c r="Q248" i="47"/>
  <c r="R248" i="47" s="1"/>
  <c r="S248" i="47" s="1"/>
  <c r="N275" i="47"/>
  <c r="V249" i="47"/>
  <c r="S249" i="47" l="1"/>
  <c r="Q249" i="47"/>
  <c r="R249" i="47" s="1"/>
  <c r="K276" i="26"/>
  <c r="L276" i="26" s="1"/>
  <c r="M276" i="26" s="1"/>
  <c r="K276" i="47"/>
  <c r="L276" i="47" s="1"/>
  <c r="M276" i="47"/>
  <c r="N276" i="47"/>
  <c r="T248" i="47"/>
  <c r="T249" i="47" s="1"/>
  <c r="X248" i="47"/>
  <c r="V250" i="47"/>
  <c r="X249" i="47"/>
  <c r="M277" i="26" l="1"/>
  <c r="K277" i="26"/>
  <c r="L277" i="26" s="1"/>
  <c r="T250" i="47"/>
  <c r="K277" i="47"/>
  <c r="L277" i="47" s="1"/>
  <c r="M277" i="47" s="1"/>
  <c r="V251" i="47"/>
  <c r="X250" i="47"/>
  <c r="S250" i="47"/>
  <c r="Q250" i="47"/>
  <c r="R250" i="47" s="1"/>
  <c r="K278" i="47" l="1"/>
  <c r="L278" i="47" s="1"/>
  <c r="M278" i="47" s="1"/>
  <c r="K278" i="26"/>
  <c r="L278" i="26" s="1"/>
  <c r="M278" i="26" s="1"/>
  <c r="Q251" i="47"/>
  <c r="R251" i="47" s="1"/>
  <c r="S251" i="47" s="1"/>
  <c r="V252" i="47"/>
  <c r="N277" i="47"/>
  <c r="M279" i="47" l="1"/>
  <c r="K279" i="47"/>
  <c r="L279" i="47" s="1"/>
  <c r="Q252" i="47"/>
  <c r="R252" i="47" s="1"/>
  <c r="S252" i="47" s="1"/>
  <c r="K279" i="26"/>
  <c r="L279" i="26" s="1"/>
  <c r="M279" i="26"/>
  <c r="T251" i="47"/>
  <c r="T252" i="47" s="1"/>
  <c r="X251" i="47"/>
  <c r="V253" i="47"/>
  <c r="N278" i="47"/>
  <c r="N279" i="47" s="1"/>
  <c r="Q253" i="47" l="1"/>
  <c r="R253" i="47" s="1"/>
  <c r="S253" i="47" s="1"/>
  <c r="V254" i="47"/>
  <c r="K280" i="47"/>
  <c r="L280" i="47" s="1"/>
  <c r="M280" i="47"/>
  <c r="K280" i="26"/>
  <c r="L280" i="26" s="1"/>
  <c r="M280" i="26" s="1"/>
  <c r="X252" i="47"/>
  <c r="K281" i="26" l="1"/>
  <c r="L281" i="26" s="1"/>
  <c r="M281" i="26" s="1"/>
  <c r="Q254" i="47"/>
  <c r="R254" i="47" s="1"/>
  <c r="S254" i="47" s="1"/>
  <c r="K281" i="47"/>
  <c r="L281" i="47" s="1"/>
  <c r="M281" i="47" s="1"/>
  <c r="X253" i="47"/>
  <c r="V255" i="47"/>
  <c r="T253" i="47"/>
  <c r="N280" i="47"/>
  <c r="K282" i="47" l="1"/>
  <c r="L282" i="47" s="1"/>
  <c r="M282" i="47" s="1"/>
  <c r="Q255" i="47"/>
  <c r="R255" i="47" s="1"/>
  <c r="S255" i="47" s="1"/>
  <c r="M282" i="26"/>
  <c r="K282" i="26"/>
  <c r="L282" i="26" s="1"/>
  <c r="N281" i="47"/>
  <c r="N282" i="47" s="1"/>
  <c r="V256" i="47"/>
  <c r="T254" i="47"/>
  <c r="X254" i="47"/>
  <c r="Q256" i="47" l="1"/>
  <c r="R256" i="47" s="1"/>
  <c r="S256" i="47" s="1"/>
  <c r="K283" i="47"/>
  <c r="L283" i="47" s="1"/>
  <c r="M283" i="47" s="1"/>
  <c r="V257" i="47"/>
  <c r="N283" i="47"/>
  <c r="M283" i="26"/>
  <c r="K283" i="26"/>
  <c r="L283" i="26" s="1"/>
  <c r="T255" i="47"/>
  <c r="X255" i="47"/>
  <c r="K284" i="47" l="1"/>
  <c r="L284" i="47" s="1"/>
  <c r="M284" i="47"/>
  <c r="Q257" i="47"/>
  <c r="R257" i="47" s="1"/>
  <c r="S257" i="47" s="1"/>
  <c r="K284" i="26"/>
  <c r="L284" i="26" s="1"/>
  <c r="M284" i="26" s="1"/>
  <c r="V258" i="47"/>
  <c r="N284" i="47"/>
  <c r="X256" i="47"/>
  <c r="T256" i="47"/>
  <c r="K285" i="26" l="1"/>
  <c r="L285" i="26" s="1"/>
  <c r="M285" i="26" s="1"/>
  <c r="Q258" i="47"/>
  <c r="R258" i="47" s="1"/>
  <c r="S258" i="47" s="1"/>
  <c r="X257" i="47"/>
  <c r="V259" i="47"/>
  <c r="T257" i="47"/>
  <c r="T258" i="47" s="1"/>
  <c r="M285" i="47"/>
  <c r="K285" i="47"/>
  <c r="L285" i="47" s="1"/>
  <c r="N285" i="47"/>
  <c r="Q259" i="47" l="1"/>
  <c r="R259" i="47" s="1"/>
  <c r="S259" i="47"/>
  <c r="K286" i="26"/>
  <c r="L286" i="26" s="1"/>
  <c r="M286" i="26" s="1"/>
  <c r="K286" i="47"/>
  <c r="L286" i="47" s="1"/>
  <c r="M286" i="47" s="1"/>
  <c r="T259" i="47"/>
  <c r="N286" i="47"/>
  <c r="X258" i="47"/>
  <c r="V260" i="47"/>
  <c r="X259" i="47"/>
  <c r="K287" i="47" l="1"/>
  <c r="L287" i="47" s="1"/>
  <c r="M287" i="47" s="1"/>
  <c r="K287" i="26"/>
  <c r="L287" i="26" s="1"/>
  <c r="M287" i="26"/>
  <c r="N287" i="47"/>
  <c r="T260" i="47"/>
  <c r="V261" i="47"/>
  <c r="Q260" i="47"/>
  <c r="R260" i="47" s="1"/>
  <c r="S260" i="47" s="1"/>
  <c r="Q261" i="47" l="1"/>
  <c r="R261" i="47" s="1"/>
  <c r="S261" i="47" s="1"/>
  <c r="K288" i="47"/>
  <c r="L288" i="47" s="1"/>
  <c r="M288" i="47" s="1"/>
  <c r="T261" i="47"/>
  <c r="K288" i="26"/>
  <c r="L288" i="26" s="1"/>
  <c r="M288" i="26" s="1"/>
  <c r="X260" i="47"/>
  <c r="V262" i="47"/>
  <c r="K289" i="26" l="1"/>
  <c r="L289" i="26" s="1"/>
  <c r="M289" i="26" s="1"/>
  <c r="K289" i="47"/>
  <c r="L289" i="47" s="1"/>
  <c r="M289" i="47" s="1"/>
  <c r="Q262" i="47"/>
  <c r="R262" i="47" s="1"/>
  <c r="S262" i="47" s="1"/>
  <c r="T262" i="47"/>
  <c r="N288" i="47"/>
  <c r="N289" i="47" s="1"/>
  <c r="X261" i="47"/>
  <c r="V263" i="47"/>
  <c r="Q263" i="47" l="1"/>
  <c r="R263" i="47" s="1"/>
  <c r="S263" i="47"/>
  <c r="K290" i="47"/>
  <c r="L290" i="47" s="1"/>
  <c r="M290" i="47" s="1"/>
  <c r="K290" i="26"/>
  <c r="L290" i="26" s="1"/>
  <c r="M290" i="26" s="1"/>
  <c r="X262" i="47"/>
  <c r="T263" i="47"/>
  <c r="V264" i="47"/>
  <c r="X263" i="47"/>
  <c r="K291" i="26" l="1"/>
  <c r="L291" i="26" s="1"/>
  <c r="M291" i="26" s="1"/>
  <c r="K291" i="47"/>
  <c r="L291" i="47" s="1"/>
  <c r="M291" i="47" s="1"/>
  <c r="N290" i="47"/>
  <c r="N291" i="47" s="1"/>
  <c r="Q264" i="47"/>
  <c r="R264" i="47" s="1"/>
  <c r="S264" i="47" s="1"/>
  <c r="V265" i="47"/>
  <c r="Q265" i="47" l="1"/>
  <c r="R265" i="47" s="1"/>
  <c r="S265" i="47" s="1"/>
  <c r="K292" i="47"/>
  <c r="L292" i="47" s="1"/>
  <c r="M292" i="47" s="1"/>
  <c r="K292" i="26"/>
  <c r="L292" i="26" s="1"/>
  <c r="M292" i="26" s="1"/>
  <c r="N292" i="47"/>
  <c r="T264" i="47"/>
  <c r="T265" i="47" s="1"/>
  <c r="X264" i="47"/>
  <c r="V266" i="47"/>
  <c r="K293" i="26" l="1"/>
  <c r="L293" i="26" s="1"/>
  <c r="M293" i="26" s="1"/>
  <c r="K293" i="47"/>
  <c r="L293" i="47" s="1"/>
  <c r="M293" i="47" s="1"/>
  <c r="Q266" i="47"/>
  <c r="R266" i="47" s="1"/>
  <c r="S266" i="47" s="1"/>
  <c r="X265" i="47"/>
  <c r="V267" i="47"/>
  <c r="Q267" i="47" l="1"/>
  <c r="R267" i="47" s="1"/>
  <c r="S267" i="47"/>
  <c r="K294" i="47"/>
  <c r="L294" i="47" s="1"/>
  <c r="M294" i="47"/>
  <c r="K294" i="26"/>
  <c r="L294" i="26" s="1"/>
  <c r="M294" i="26" s="1"/>
  <c r="T266" i="47"/>
  <c r="T267" i="47" s="1"/>
  <c r="N293" i="47"/>
  <c r="N294" i="47" s="1"/>
  <c r="X266" i="47"/>
  <c r="V268" i="47"/>
  <c r="X267" i="47"/>
  <c r="K295" i="26" l="1"/>
  <c r="L295" i="26" s="1"/>
  <c r="M295" i="26"/>
  <c r="K295" i="47"/>
  <c r="L295" i="47" s="1"/>
  <c r="M295" i="47" s="1"/>
  <c r="V269" i="47"/>
  <c r="Q268" i="47"/>
  <c r="R268" i="47" s="1"/>
  <c r="S268" i="47" s="1"/>
  <c r="Q269" i="47" l="1"/>
  <c r="R269" i="47" s="1"/>
  <c r="S269" i="47" s="1"/>
  <c r="K296" i="47"/>
  <c r="L296" i="47" s="1"/>
  <c r="M296" i="47" s="1"/>
  <c r="N295" i="47"/>
  <c r="K296" i="26"/>
  <c r="L296" i="26" s="1"/>
  <c r="M296" i="26" s="1"/>
  <c r="X268" i="47"/>
  <c r="V270" i="47"/>
  <c r="T268" i="47"/>
  <c r="T269" i="47" s="1"/>
  <c r="K297" i="26" l="1"/>
  <c r="L297" i="26" s="1"/>
  <c r="M297" i="26" s="1"/>
  <c r="K297" i="47"/>
  <c r="L297" i="47" s="1"/>
  <c r="M297" i="47" s="1"/>
  <c r="Q270" i="47"/>
  <c r="R270" i="47" s="1"/>
  <c r="S270" i="47" s="1"/>
  <c r="T270" i="47"/>
  <c r="N296" i="47"/>
  <c r="N297" i="47" s="1"/>
  <c r="X269" i="47"/>
  <c r="V271" i="47"/>
  <c r="K298" i="47" l="1"/>
  <c r="L298" i="47" s="1"/>
  <c r="M298" i="47"/>
  <c r="Q271" i="47"/>
  <c r="R271" i="47" s="1"/>
  <c r="S271" i="47" s="1"/>
  <c r="K298" i="26"/>
  <c r="L298" i="26" s="1"/>
  <c r="M298" i="26" s="1"/>
  <c r="T271" i="47"/>
  <c r="X270" i="47"/>
  <c r="N298" i="47"/>
  <c r="V272" i="47"/>
  <c r="K299" i="26" l="1"/>
  <c r="L299" i="26" s="1"/>
  <c r="M299" i="26" s="1"/>
  <c r="Q272" i="47"/>
  <c r="R272" i="47" s="1"/>
  <c r="S272" i="47" s="1"/>
  <c r="T272" i="47"/>
  <c r="V273" i="47"/>
  <c r="M299" i="47"/>
  <c r="K299" i="47"/>
  <c r="L299" i="47" s="1"/>
  <c r="X271" i="47"/>
  <c r="N299" i="47"/>
  <c r="K300" i="26" l="1"/>
  <c r="L300" i="26" s="1"/>
  <c r="M300" i="26" s="1"/>
  <c r="Q273" i="47"/>
  <c r="R273" i="47" s="1"/>
  <c r="S273" i="47" s="1"/>
  <c r="K300" i="47"/>
  <c r="L300" i="47" s="1"/>
  <c r="M300" i="47" s="1"/>
  <c r="T273" i="47"/>
  <c r="X272" i="47"/>
  <c r="V274" i="47"/>
  <c r="M301" i="47" l="1"/>
  <c r="K301" i="47"/>
  <c r="L301" i="47" s="1"/>
  <c r="Q274" i="47"/>
  <c r="R274" i="47" s="1"/>
  <c r="S274" i="47" s="1"/>
  <c r="K301" i="26"/>
  <c r="L301" i="26" s="1"/>
  <c r="M301" i="26"/>
  <c r="N300" i="47"/>
  <c r="N301" i="47" s="1"/>
  <c r="T274" i="47"/>
  <c r="X273" i="47"/>
  <c r="V275" i="47"/>
  <c r="Q275" i="47" l="1"/>
  <c r="R275" i="47" s="1"/>
  <c r="S275" i="47"/>
  <c r="K302" i="26"/>
  <c r="L302" i="26" s="1"/>
  <c r="M302" i="26" s="1"/>
  <c r="N302" i="47"/>
  <c r="T275" i="47"/>
  <c r="X274" i="47"/>
  <c r="V276" i="47"/>
  <c r="X275" i="47"/>
  <c r="K302" i="47"/>
  <c r="L302" i="47" s="1"/>
  <c r="M302" i="47"/>
  <c r="V277" i="47" l="1"/>
  <c r="K303" i="47"/>
  <c r="L303" i="47" s="1"/>
  <c r="M303" i="47" s="1"/>
  <c r="S276" i="47"/>
  <c r="Q276" i="47"/>
  <c r="R276" i="47" s="1"/>
  <c r="K304" i="47" l="1"/>
  <c r="L304" i="47" s="1"/>
  <c r="M304" i="47" s="1"/>
  <c r="Q277" i="47"/>
  <c r="R277" i="47" s="1"/>
  <c r="S277" i="47" s="1"/>
  <c r="N303" i="47"/>
  <c r="N304" i="47" s="1"/>
  <c r="X276" i="47"/>
  <c r="V278" i="47"/>
  <c r="T276" i="47"/>
  <c r="S278" i="47" l="1"/>
  <c r="Q278" i="47"/>
  <c r="R278" i="47" s="1"/>
  <c r="K305" i="47"/>
  <c r="L305" i="47" s="1"/>
  <c r="M305" i="47" s="1"/>
  <c r="X277" i="47"/>
  <c r="V279" i="47"/>
  <c r="X278" i="47"/>
  <c r="N305" i="47"/>
  <c r="T277" i="47"/>
  <c r="T278" i="47" s="1"/>
  <c r="K306" i="47" l="1"/>
  <c r="L306" i="47" s="1"/>
  <c r="M306" i="47" s="1"/>
  <c r="Q279" i="47"/>
  <c r="R279" i="47" s="1"/>
  <c r="S279" i="47"/>
  <c r="N306" i="47"/>
  <c r="X279" i="47"/>
  <c r="V280" i="47"/>
  <c r="K307" i="47" l="1"/>
  <c r="L307" i="47" s="1"/>
  <c r="M307" i="47" s="1"/>
  <c r="Q280" i="47"/>
  <c r="R280" i="47" s="1"/>
  <c r="S280" i="47" s="1"/>
  <c r="V281" i="47"/>
  <c r="N307" i="47"/>
  <c r="T279" i="47"/>
  <c r="T280" i="47" s="1"/>
  <c r="Q281" i="47" l="1"/>
  <c r="R281" i="47" s="1"/>
  <c r="S281" i="47" s="1"/>
  <c r="K308" i="47"/>
  <c r="L308" i="47" s="1"/>
  <c r="M308" i="47" s="1"/>
  <c r="T281" i="47"/>
  <c r="N308" i="47"/>
  <c r="X280" i="47"/>
  <c r="V282" i="47"/>
  <c r="S282" i="47" l="1"/>
  <c r="Q282" i="47"/>
  <c r="R282" i="47" s="1"/>
  <c r="K309" i="47"/>
  <c r="L309" i="47" s="1"/>
  <c r="M309" i="47" s="1"/>
  <c r="V283" i="47"/>
  <c r="X282" i="47"/>
  <c r="N309" i="47"/>
  <c r="T282" i="47"/>
  <c r="X281" i="47"/>
  <c r="K310" i="47" l="1"/>
  <c r="L310" i="47" s="1"/>
  <c r="M310" i="47" s="1"/>
  <c r="V284" i="47"/>
  <c r="Q283" i="47"/>
  <c r="R283" i="47" s="1"/>
  <c r="S283" i="47" s="1"/>
  <c r="Q284" i="47" l="1"/>
  <c r="R284" i="47" s="1"/>
  <c r="S284" i="47" s="1"/>
  <c r="K311" i="47"/>
  <c r="L311" i="47" s="1"/>
  <c r="M311" i="47" s="1"/>
  <c r="T283" i="47"/>
  <c r="T284" i="47" s="1"/>
  <c r="V285" i="47"/>
  <c r="X283" i="47"/>
  <c r="N310" i="47"/>
  <c r="K312" i="47" l="1"/>
  <c r="L312" i="47" s="1"/>
  <c r="M312" i="47" s="1"/>
  <c r="Q285" i="47"/>
  <c r="R285" i="47" s="1"/>
  <c r="S285" i="47" s="1"/>
  <c r="X284" i="47"/>
  <c r="V286" i="47"/>
  <c r="T285" i="47"/>
  <c r="N311" i="47"/>
  <c r="S286" i="47" l="1"/>
  <c r="Q286" i="47"/>
  <c r="R286" i="47" s="1"/>
  <c r="K313" i="47"/>
  <c r="L313" i="47" s="1"/>
  <c r="M313" i="47"/>
  <c r="T286" i="47"/>
  <c r="X285" i="47"/>
  <c r="V287" i="47"/>
  <c r="X286" i="47"/>
  <c r="N312" i="47"/>
  <c r="N313" i="47" s="1"/>
  <c r="Q287" i="47" l="1"/>
  <c r="R287" i="47" s="1"/>
  <c r="S287" i="47" s="1"/>
  <c r="V288" i="47"/>
  <c r="K314" i="47"/>
  <c r="L314" i="47" s="1"/>
  <c r="M314" i="47" s="1"/>
  <c r="Q288" i="47" l="1"/>
  <c r="R288" i="47" s="1"/>
  <c r="S288" i="47" s="1"/>
  <c r="K315" i="47"/>
  <c r="L315" i="47" s="1"/>
  <c r="M315" i="47" s="1"/>
  <c r="T287" i="47"/>
  <c r="T288" i="47" s="1"/>
  <c r="V289" i="47"/>
  <c r="X287" i="47"/>
  <c r="N314" i="47"/>
  <c r="M316" i="47" l="1"/>
  <c r="K316" i="47"/>
  <c r="L316" i="47" s="1"/>
  <c r="Q289" i="47"/>
  <c r="R289" i="47" s="1"/>
  <c r="S289" i="47" s="1"/>
  <c r="V290" i="47"/>
  <c r="T289" i="47"/>
  <c r="X288" i="47"/>
  <c r="N315" i="47"/>
  <c r="N316" i="47" s="1"/>
  <c r="Q290" i="47" l="1"/>
  <c r="R290" i="47" s="1"/>
  <c r="S290" i="47" s="1"/>
  <c r="X289" i="47"/>
  <c r="K317" i="47"/>
  <c r="L317" i="47" s="1"/>
  <c r="M317" i="47" s="1"/>
  <c r="T290" i="47"/>
  <c r="V291" i="47"/>
  <c r="K318" i="47" l="1"/>
  <c r="L318" i="47" s="1"/>
  <c r="M318" i="47"/>
  <c r="Q291" i="47"/>
  <c r="R291" i="47" s="1"/>
  <c r="S291" i="47"/>
  <c r="X291" i="47"/>
  <c r="V292" i="47"/>
  <c r="T291" i="47"/>
  <c r="N317" i="47"/>
  <c r="N318" i="47" s="1"/>
  <c r="X290" i="47"/>
  <c r="V293" i="47" l="1"/>
  <c r="K319" i="47"/>
  <c r="L319" i="47" s="1"/>
  <c r="M319" i="47" s="1"/>
  <c r="Q292" i="47"/>
  <c r="R292" i="47" s="1"/>
  <c r="S292" i="47" s="1"/>
  <c r="Q293" i="47" l="1"/>
  <c r="R293" i="47" s="1"/>
  <c r="S293" i="47" s="1"/>
  <c r="K320" i="47"/>
  <c r="L320" i="47" s="1"/>
  <c r="M320" i="47" s="1"/>
  <c r="X292" i="47"/>
  <c r="V294" i="47"/>
  <c r="T292" i="47"/>
  <c r="T293" i="47" s="1"/>
  <c r="N319" i="47"/>
  <c r="N320" i="47" s="1"/>
  <c r="S294" i="47" l="1"/>
  <c r="Q294" i="47"/>
  <c r="R294" i="47" s="1"/>
  <c r="K321" i="47"/>
  <c r="L321" i="47" s="1"/>
  <c r="M321" i="47" s="1"/>
  <c r="T294" i="47"/>
  <c r="X293" i="47"/>
  <c r="N321" i="47"/>
  <c r="V295" i="47"/>
  <c r="X294" i="47"/>
  <c r="K322" i="47" l="1"/>
  <c r="L322" i="47" s="1"/>
  <c r="M322" i="47" s="1"/>
  <c r="V296" i="47"/>
  <c r="Q295" i="47"/>
  <c r="R295" i="47" s="1"/>
  <c r="S295" i="47" s="1"/>
  <c r="K323" i="47" l="1"/>
  <c r="L323" i="47" s="1"/>
  <c r="M323" i="47" s="1"/>
  <c r="Q296" i="47"/>
  <c r="R296" i="47" s="1"/>
  <c r="S296" i="47" s="1"/>
  <c r="V297" i="47"/>
  <c r="N322" i="47"/>
  <c r="N323" i="47" s="1"/>
  <c r="X295" i="47"/>
  <c r="T295" i="47"/>
  <c r="M324" i="47" l="1"/>
  <c r="K324" i="47"/>
  <c r="L324" i="47" s="1"/>
  <c r="Q297" i="47"/>
  <c r="R297" i="47" s="1"/>
  <c r="S297" i="47"/>
  <c r="X297" i="47"/>
  <c r="V298" i="47"/>
  <c r="N324" i="47"/>
  <c r="X296" i="47"/>
  <c r="T296" i="47"/>
  <c r="T297" i="47" s="1"/>
  <c r="V299" i="47" l="1"/>
  <c r="Q298" i="47"/>
  <c r="R298" i="47" s="1"/>
  <c r="S298" i="47" s="1"/>
  <c r="K325" i="47"/>
  <c r="L325" i="47" s="1"/>
  <c r="M325" i="47" s="1"/>
  <c r="K326" i="47" l="1"/>
  <c r="L326" i="47" s="1"/>
  <c r="M326" i="47" s="1"/>
  <c r="Q299" i="47"/>
  <c r="R299" i="47" s="1"/>
  <c r="S299" i="47" s="1"/>
  <c r="T298" i="47"/>
  <c r="T299" i="47" s="1"/>
  <c r="X298" i="47"/>
  <c r="V300" i="47"/>
  <c r="N325" i="47"/>
  <c r="N326" i="47" s="1"/>
  <c r="M327" i="47" l="1"/>
  <c r="K327" i="47"/>
  <c r="L327" i="47" s="1"/>
  <c r="Q300" i="47"/>
  <c r="R300" i="47" s="1"/>
  <c r="S300" i="47" s="1"/>
  <c r="N327" i="47"/>
  <c r="V301" i="47"/>
  <c r="T300" i="47"/>
  <c r="X299" i="47"/>
  <c r="Q301" i="47" l="1"/>
  <c r="R301" i="47" s="1"/>
  <c r="S301" i="47" s="1"/>
  <c r="X300" i="47"/>
  <c r="K328" i="47"/>
  <c r="L328" i="47" s="1"/>
  <c r="M328" i="47" s="1"/>
  <c r="V302" i="47"/>
  <c r="N328" i="47"/>
  <c r="M329" i="47" l="1"/>
  <c r="K329" i="47"/>
  <c r="L329" i="47" s="1"/>
  <c r="Q302" i="47"/>
  <c r="R302" i="47" s="1"/>
  <c r="S302" i="47" s="1"/>
  <c r="X301" i="47"/>
  <c r="N329" i="47"/>
  <c r="V303" i="47"/>
  <c r="T301" i="47"/>
  <c r="T302" i="47" s="1"/>
  <c r="S303" i="47" l="1"/>
  <c r="Q303" i="47"/>
  <c r="R303" i="47" s="1"/>
  <c r="T303" i="47"/>
  <c r="K330" i="47"/>
  <c r="L330" i="47" s="1"/>
  <c r="M330" i="47" s="1"/>
  <c r="X302" i="47"/>
  <c r="X303" i="47"/>
  <c r="V304" i="47"/>
  <c r="M331" i="47" l="1"/>
  <c r="K331" i="47"/>
  <c r="L331" i="47" s="1"/>
  <c r="V305" i="47"/>
  <c r="N330" i="47"/>
  <c r="N331" i="47" s="1"/>
  <c r="Q304" i="47"/>
  <c r="R304" i="47" s="1"/>
  <c r="S304" i="47" s="1"/>
  <c r="Q305" i="47" l="1"/>
  <c r="R305" i="47" s="1"/>
  <c r="S305" i="47"/>
  <c r="N332" i="47"/>
  <c r="X305" i="47"/>
  <c r="V306" i="47"/>
  <c r="T304" i="47"/>
  <c r="T305" i="47" s="1"/>
  <c r="X304" i="47"/>
  <c r="M332" i="47"/>
  <c r="K332" i="47"/>
  <c r="L332" i="47" s="1"/>
  <c r="Q306" i="47" l="1"/>
  <c r="R306" i="47" s="1"/>
  <c r="S306" i="47" s="1"/>
  <c r="K333" i="47"/>
  <c r="L333" i="47" s="1"/>
  <c r="M333" i="47" s="1"/>
  <c r="T306" i="47"/>
  <c r="V307" i="47"/>
  <c r="N333" i="47"/>
  <c r="S307" i="47" l="1"/>
  <c r="Q307" i="47"/>
  <c r="R307" i="47" s="1"/>
  <c r="K334" i="47"/>
  <c r="L334" i="47" s="1"/>
  <c r="M334" i="47"/>
  <c r="N334" i="47"/>
  <c r="V308" i="47"/>
  <c r="X306" i="47"/>
  <c r="T307" i="47"/>
  <c r="T308" i="47" l="1"/>
  <c r="V309" i="47"/>
  <c r="Q308" i="47"/>
  <c r="R308" i="47" s="1"/>
  <c r="S308" i="47" s="1"/>
  <c r="X307" i="47"/>
  <c r="K335" i="47"/>
  <c r="L335" i="47" s="1"/>
  <c r="M335" i="47" s="1"/>
  <c r="K336" i="47" l="1"/>
  <c r="L336" i="47" s="1"/>
  <c r="M336" i="47" s="1"/>
  <c r="Q309" i="47"/>
  <c r="R309" i="47" s="1"/>
  <c r="S309" i="47"/>
  <c r="N335" i="47"/>
  <c r="N336" i="47" s="1"/>
  <c r="T309" i="47"/>
  <c r="X309" i="47"/>
  <c r="V310" i="47"/>
  <c r="X308" i="47"/>
  <c r="K337" i="47" l="1"/>
  <c r="L337" i="47" s="1"/>
  <c r="M337" i="47" s="1"/>
  <c r="N337" i="47"/>
  <c r="Q310" i="47"/>
  <c r="R310" i="47" s="1"/>
  <c r="S310" i="47" s="1"/>
  <c r="V311" i="47"/>
  <c r="Q311" i="47" l="1"/>
  <c r="R311" i="47" s="1"/>
  <c r="S311" i="47" s="1"/>
  <c r="K338" i="47"/>
  <c r="L338" i="47" s="1"/>
  <c r="M338" i="47"/>
  <c r="V312" i="47"/>
  <c r="X310" i="47"/>
  <c r="N338" i="47"/>
  <c r="T310" i="47"/>
  <c r="Q312" i="47" l="1"/>
  <c r="R312" i="47" s="1"/>
  <c r="S312" i="47" s="1"/>
  <c r="V313" i="47"/>
  <c r="X311" i="47"/>
  <c r="K339" i="47"/>
  <c r="L339" i="47" s="1"/>
  <c r="M339" i="47" s="1"/>
  <c r="T311" i="47"/>
  <c r="M340" i="47" l="1"/>
  <c r="K340" i="47"/>
  <c r="L340" i="47" s="1"/>
  <c r="Q313" i="47"/>
  <c r="R313" i="47" s="1"/>
  <c r="S313" i="47"/>
  <c r="X313" i="47"/>
  <c r="V314" i="47"/>
  <c r="X312" i="47"/>
  <c r="N339" i="47"/>
  <c r="N340" i="47" s="1"/>
  <c r="T312" i="47"/>
  <c r="T313" i="47" s="1"/>
  <c r="V315" i="47" l="1"/>
  <c r="Q314" i="47"/>
  <c r="R314" i="47" s="1"/>
  <c r="S314" i="47" s="1"/>
  <c r="T314" i="47"/>
  <c r="K341" i="47"/>
  <c r="L341" i="47" s="1"/>
  <c r="M341" i="47"/>
  <c r="Q315" i="47" l="1"/>
  <c r="R315" i="47" s="1"/>
  <c r="S315" i="47" s="1"/>
  <c r="T315" i="47"/>
  <c r="K342" i="47"/>
  <c r="L342" i="47" s="1"/>
  <c r="M342" i="47"/>
  <c r="X314" i="47"/>
  <c r="V316" i="47"/>
  <c r="N341" i="47"/>
  <c r="Q316" i="47" l="1"/>
  <c r="R316" i="47" s="1"/>
  <c r="S316" i="47" s="1"/>
  <c r="X315" i="47"/>
  <c r="K343" i="47"/>
  <c r="L343" i="47" s="1"/>
  <c r="M343" i="47" s="1"/>
  <c r="V317" i="47"/>
  <c r="T316" i="47"/>
  <c r="N342" i="47"/>
  <c r="K344" i="47" l="1"/>
  <c r="L344" i="47" s="1"/>
  <c r="M344" i="47" s="1"/>
  <c r="Q317" i="47"/>
  <c r="R317" i="47" s="1"/>
  <c r="S317" i="47" s="1"/>
  <c r="T317" i="47"/>
  <c r="V318" i="47"/>
  <c r="X316" i="47"/>
  <c r="N343" i="47"/>
  <c r="Q318" i="47" l="1"/>
  <c r="R318" i="47" s="1"/>
  <c r="S318" i="47" s="1"/>
  <c r="K345" i="47"/>
  <c r="L345" i="47" s="1"/>
  <c r="M345" i="47" s="1"/>
  <c r="V319" i="47"/>
  <c r="X317" i="47"/>
  <c r="T318" i="47"/>
  <c r="N344" i="47"/>
  <c r="N345" i="47" s="1"/>
  <c r="K346" i="47" l="1"/>
  <c r="L346" i="47" s="1"/>
  <c r="M346" i="47"/>
  <c r="Q319" i="47"/>
  <c r="R319" i="47" s="1"/>
  <c r="S319" i="47" s="1"/>
  <c r="T319" i="47"/>
  <c r="X318" i="47"/>
  <c r="V320" i="47"/>
  <c r="N346" i="47"/>
  <c r="Q320" i="47" l="1"/>
  <c r="R320" i="47" s="1"/>
  <c r="S320" i="47" s="1"/>
  <c r="V321" i="47"/>
  <c r="K347" i="47"/>
  <c r="L347" i="47" s="1"/>
  <c r="M347" i="47" s="1"/>
  <c r="X319" i="47"/>
  <c r="T320" i="47"/>
  <c r="Q321" i="47" l="1"/>
  <c r="R321" i="47" s="1"/>
  <c r="S321" i="47"/>
  <c r="K348" i="47"/>
  <c r="L348" i="47" s="1"/>
  <c r="M348" i="47" s="1"/>
  <c r="X320" i="47"/>
  <c r="T321" i="47"/>
  <c r="X321" i="47"/>
  <c r="V322" i="47"/>
  <c r="N347" i="47"/>
  <c r="K349" i="47" l="1"/>
  <c r="L349" i="47" s="1"/>
  <c r="M349" i="47" s="1"/>
  <c r="V323" i="47"/>
  <c r="Q322" i="47"/>
  <c r="R322" i="47" s="1"/>
  <c r="S322" i="47" s="1"/>
  <c r="N348" i="47"/>
  <c r="N349" i="47" s="1"/>
  <c r="Q323" i="47" l="1"/>
  <c r="R323" i="47" s="1"/>
  <c r="S323" i="47" s="1"/>
  <c r="K350" i="47"/>
  <c r="L350" i="47" s="1"/>
  <c r="M350" i="47" s="1"/>
  <c r="T322" i="47"/>
  <c r="T323" i="47" s="1"/>
  <c r="X322" i="47"/>
  <c r="V324" i="47"/>
  <c r="K351" i="47" l="1"/>
  <c r="L351" i="47" s="1"/>
  <c r="M351" i="47" s="1"/>
  <c r="Q324" i="47"/>
  <c r="R324" i="47" s="1"/>
  <c r="S324" i="47" s="1"/>
  <c r="N350" i="47"/>
  <c r="N351" i="47" s="1"/>
  <c r="X323" i="47"/>
  <c r="V325" i="47"/>
  <c r="Q325" i="47" l="1"/>
  <c r="R325" i="47" s="1"/>
  <c r="S325" i="47"/>
  <c r="K352" i="47"/>
  <c r="L352" i="47" s="1"/>
  <c r="M352" i="47" s="1"/>
  <c r="X324" i="47"/>
  <c r="N352" i="47"/>
  <c r="T324" i="47"/>
  <c r="T325" i="47" s="1"/>
  <c r="X325" i="47"/>
  <c r="V326" i="47"/>
  <c r="K353" i="47" l="1"/>
  <c r="L353" i="47" s="1"/>
  <c r="M353" i="47" s="1"/>
  <c r="N353" i="47"/>
  <c r="Q326" i="47"/>
  <c r="R326" i="47" s="1"/>
  <c r="S326" i="47" s="1"/>
  <c r="T326" i="47"/>
  <c r="V327" i="47"/>
  <c r="Q327" i="47" l="1"/>
  <c r="R327" i="47" s="1"/>
  <c r="S327" i="47" s="1"/>
  <c r="K354" i="47"/>
  <c r="L354" i="47" s="1"/>
  <c r="M354" i="47" s="1"/>
  <c r="X326" i="47"/>
  <c r="V328" i="47"/>
  <c r="T327" i="47"/>
  <c r="K355" i="47" l="1"/>
  <c r="L355" i="47" s="1"/>
  <c r="M355" i="47" s="1"/>
  <c r="Q328" i="47"/>
  <c r="R328" i="47" s="1"/>
  <c r="S328" i="47" s="1"/>
  <c r="X327" i="47"/>
  <c r="T328" i="47"/>
  <c r="V329" i="47"/>
  <c r="N354" i="47"/>
  <c r="K356" i="47" l="1"/>
  <c r="L356" i="47" s="1"/>
  <c r="M356" i="47" s="1"/>
  <c r="Q329" i="47"/>
  <c r="R329" i="47" s="1"/>
  <c r="S329" i="47" s="1"/>
  <c r="V330" i="47"/>
  <c r="X328" i="47"/>
  <c r="T329" i="47"/>
  <c r="N355" i="47"/>
  <c r="Q330" i="47" l="1"/>
  <c r="R330" i="47" s="1"/>
  <c r="S330" i="47" s="1"/>
  <c r="K357" i="47"/>
  <c r="L357" i="47" s="1"/>
  <c r="M357" i="47" s="1"/>
  <c r="T330" i="47"/>
  <c r="V331" i="47"/>
  <c r="X329" i="47"/>
  <c r="N356" i="47"/>
  <c r="K358" i="47" l="1"/>
  <c r="L358" i="47" s="1"/>
  <c r="M358" i="47" s="1"/>
  <c r="Q331" i="47"/>
  <c r="R331" i="47" s="1"/>
  <c r="S331" i="47" s="1"/>
  <c r="X330" i="47"/>
  <c r="V332" i="47"/>
  <c r="T331" i="47"/>
  <c r="N357" i="47"/>
  <c r="Q332" i="47" l="1"/>
  <c r="R332" i="47" s="1"/>
  <c r="S332" i="47" s="1"/>
  <c r="K359" i="47"/>
  <c r="L359" i="47" s="1"/>
  <c r="M359" i="47" s="1"/>
  <c r="X331" i="47"/>
  <c r="T332" i="47"/>
  <c r="V333" i="47"/>
  <c r="N358" i="47"/>
  <c r="K360" i="47" l="1"/>
  <c r="L360" i="47" s="1"/>
  <c r="M360" i="47" s="1"/>
  <c r="Q333" i="47"/>
  <c r="R333" i="47" s="1"/>
  <c r="S333" i="47"/>
  <c r="X333" i="47"/>
  <c r="V334" i="47"/>
  <c r="T333" i="47"/>
  <c r="X332" i="47"/>
  <c r="N359" i="47"/>
  <c r="N360" i="47" s="1"/>
  <c r="K361" i="47" l="1"/>
  <c r="L361" i="47" s="1"/>
  <c r="M361" i="47" s="1"/>
  <c r="V335" i="47"/>
  <c r="Q334" i="47"/>
  <c r="R334" i="47" s="1"/>
  <c r="S334" i="47" s="1"/>
  <c r="N361" i="47"/>
  <c r="Q335" i="47" l="1"/>
  <c r="R335" i="47" s="1"/>
  <c r="S335" i="47" s="1"/>
  <c r="K362" i="47"/>
  <c r="L362" i="47" s="1"/>
  <c r="M362" i="47" s="1"/>
  <c r="T334" i="47"/>
  <c r="T335" i="47" s="1"/>
  <c r="N362" i="47"/>
  <c r="X334" i="47"/>
  <c r="V336" i="47"/>
  <c r="Q336" i="47" l="1"/>
  <c r="R336" i="47" s="1"/>
  <c r="S336" i="47"/>
  <c r="X335" i="47"/>
  <c r="T336" i="47"/>
  <c r="X336" i="47"/>
  <c r="V337" i="47"/>
  <c r="V338" i="47" l="1"/>
  <c r="Q337" i="47"/>
  <c r="R337" i="47" s="1"/>
  <c r="S337" i="47"/>
  <c r="Q338" i="47" l="1"/>
  <c r="R338" i="47" s="1"/>
  <c r="S338" i="47" s="1"/>
  <c r="T337" i="47"/>
  <c r="T338" i="47" s="1"/>
  <c r="V339" i="47"/>
  <c r="X337" i="47"/>
  <c r="Q339" i="47" l="1"/>
  <c r="R339" i="47" s="1"/>
  <c r="S339" i="47" s="1"/>
  <c r="T339" i="47"/>
  <c r="X338" i="47"/>
  <c r="V340" i="47"/>
  <c r="Q340" i="47" l="1"/>
  <c r="R340" i="47" s="1"/>
  <c r="S340" i="47"/>
  <c r="X340" i="47"/>
  <c r="V341" i="47"/>
  <c r="T340" i="47"/>
  <c r="X339" i="47"/>
  <c r="X341" i="47" l="1"/>
  <c r="V342" i="47"/>
  <c r="Q341" i="47"/>
  <c r="R341" i="47" s="1"/>
  <c r="S341" i="47"/>
  <c r="Q342" i="47" l="1"/>
  <c r="R342" i="47" s="1"/>
  <c r="S342" i="47" s="1"/>
  <c r="V343" i="47"/>
  <c r="T341" i="47"/>
  <c r="T342" i="47" s="1"/>
  <c r="Q343" i="47" l="1"/>
  <c r="R343" i="47" s="1"/>
  <c r="S343" i="47" s="1"/>
  <c r="T343" i="47"/>
  <c r="V344" i="47"/>
  <c r="X342" i="47"/>
  <c r="Q344" i="47" l="1"/>
  <c r="R344" i="47" s="1"/>
  <c r="S344" i="47" s="1"/>
  <c r="V345" i="47"/>
  <c r="T344" i="47"/>
  <c r="X343" i="47"/>
  <c r="Q345" i="47" l="1"/>
  <c r="R345" i="47" s="1"/>
  <c r="S345" i="47"/>
  <c r="X344" i="47"/>
  <c r="T345" i="47"/>
  <c r="X345" i="47"/>
  <c r="V346" i="47"/>
  <c r="Q346" i="47" l="1"/>
  <c r="R346" i="47" s="1"/>
  <c r="S346" i="47" s="1"/>
  <c r="V347" i="47"/>
  <c r="T346" i="47"/>
  <c r="Q347" i="47" l="1"/>
  <c r="R347" i="47" s="1"/>
  <c r="S347" i="47" s="1"/>
  <c r="T347" i="47"/>
  <c r="V348" i="47"/>
  <c r="X346" i="47"/>
  <c r="Q348" i="47" l="1"/>
  <c r="R348" i="47" s="1"/>
  <c r="S348" i="47"/>
  <c r="X348" i="47"/>
  <c r="V349" i="47"/>
  <c r="T348" i="47"/>
  <c r="X347" i="47"/>
  <c r="X349" i="47" l="1"/>
  <c r="V350" i="47"/>
  <c r="Q349" i="47"/>
  <c r="R349" i="47" s="1"/>
  <c r="S349" i="47"/>
  <c r="Q350" i="47" l="1"/>
  <c r="R350" i="47" s="1"/>
  <c r="S350" i="47" s="1"/>
  <c r="V351" i="47"/>
  <c r="T349" i="47"/>
  <c r="T350" i="47" s="1"/>
  <c r="Q351" i="47" l="1"/>
  <c r="R351" i="47" s="1"/>
  <c r="S351" i="47" s="1"/>
  <c r="T351" i="47"/>
  <c r="V352" i="47"/>
  <c r="X350" i="47"/>
  <c r="Q352" i="47" l="1"/>
  <c r="R352" i="47" s="1"/>
  <c r="S352" i="47" s="1"/>
  <c r="V353" i="47"/>
  <c r="T352" i="47"/>
  <c r="X351" i="47"/>
  <c r="Q353" i="47" l="1"/>
  <c r="R353" i="47" s="1"/>
  <c r="S353" i="47"/>
  <c r="X352" i="47"/>
  <c r="T353" i="47"/>
  <c r="X353" i="47"/>
  <c r="V354" i="47"/>
  <c r="Q354" i="47" l="1"/>
  <c r="R354" i="47" s="1"/>
  <c r="S354" i="47" s="1"/>
  <c r="V355" i="47"/>
  <c r="T354" i="47"/>
  <c r="Q355" i="47" l="1"/>
  <c r="R355" i="47" s="1"/>
  <c r="S355" i="47" s="1"/>
  <c r="X354" i="47"/>
  <c r="V356" i="47"/>
  <c r="T355" i="47"/>
  <c r="Q356" i="47" l="1"/>
  <c r="R356" i="47" s="1"/>
  <c r="S356" i="47" s="1"/>
  <c r="T356" i="47"/>
  <c r="V357" i="47"/>
  <c r="X355" i="47"/>
  <c r="Q357" i="47" l="1"/>
  <c r="R357" i="47" s="1"/>
  <c r="S357" i="47" s="1"/>
  <c r="V358" i="47"/>
  <c r="T357" i="47"/>
  <c r="X356" i="47"/>
  <c r="Q358" i="47" l="1"/>
  <c r="R358" i="47" s="1"/>
  <c r="S358" i="47"/>
  <c r="X357" i="47"/>
  <c r="T358" i="47"/>
  <c r="X358" i="47"/>
  <c r="V359" i="47"/>
  <c r="V360" i="47" l="1"/>
  <c r="Q359" i="47"/>
  <c r="R359" i="47" s="1"/>
  <c r="S359" i="47" s="1"/>
  <c r="Q360" i="47" l="1"/>
  <c r="R360" i="47" s="1"/>
  <c r="S360" i="47" s="1"/>
  <c r="T359" i="47"/>
  <c r="T360" i="47" s="1"/>
  <c r="X359" i="47"/>
  <c r="V361" i="47"/>
  <c r="Q361" i="47" l="1"/>
  <c r="R361" i="47" s="1"/>
  <c r="S361" i="47"/>
  <c r="V362" i="47"/>
  <c r="X361" i="47"/>
  <c r="T361" i="47"/>
  <c r="X360" i="47"/>
  <c r="Q362" i="47" l="1"/>
  <c r="R362" i="47" s="1"/>
  <c r="S362" i="47" s="1"/>
  <c r="T362" i="47"/>
  <c r="X362" i="47" l="1"/>
  <c r="Z17" i="47" l="1"/>
  <c r="AA2" i="47"/>
  <c r="AA4" i="47" l="1"/>
  <c r="AA3" i="47"/>
  <c r="Z18" i="47"/>
  <c r="Z19" i="47"/>
  <c r="Z20" i="47" l="1"/>
  <c r="F18" i="47" s="1"/>
  <c r="AA5" i="47"/>
  <c r="C28" i="4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Sandip Mukherjee</author>
  </authors>
  <commentList>
    <comment ref="C5" authorId="0" shapeId="0" xr:uid="{00000000-0006-0000-0F00-000001000000}">
      <text>
        <r>
          <rPr>
            <b/>
            <sz val="9"/>
            <rFont val="Tahoma"/>
            <charset val="134"/>
          </rPr>
          <t>This input will be used to calculate INDEXATION factor in case of LTCG</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Sandip Mukherjee</author>
  </authors>
  <commentList>
    <comment ref="D2" authorId="0" shapeId="0" xr:uid="{00000000-0006-0000-1000-000001000000}">
      <text>
        <r>
          <rPr>
            <b/>
            <sz val="9"/>
            <rFont val="Tahoma"/>
            <charset val="134"/>
          </rPr>
          <t>What % of investment amount will be withdrawn every year?</t>
        </r>
      </text>
    </comment>
    <comment ref="F2" authorId="0" shapeId="0" xr:uid="{00000000-0006-0000-1000-000002000000}">
      <text>
        <r>
          <rPr>
            <b/>
            <sz val="9"/>
            <rFont val="Tahoma"/>
            <charset val="134"/>
          </rPr>
          <t>What % of investment amount will be withdrawn every year?</t>
        </r>
      </text>
    </comment>
    <comment ref="D3" authorId="0" shapeId="0" xr:uid="{00000000-0006-0000-1000-000003000000}">
      <text>
        <r>
          <rPr>
            <b/>
            <sz val="9"/>
            <rFont val="Tahoma"/>
            <charset val="134"/>
          </rPr>
          <t>For calculation of Indexed LTCG in case of Debt Funds</t>
        </r>
      </text>
    </comment>
    <comment ref="F3" authorId="0" shapeId="0" xr:uid="{00000000-0006-0000-1000-000004000000}">
      <text>
        <r>
          <rPr>
            <b/>
            <sz val="9"/>
            <rFont val="Tahoma"/>
            <charset val="134"/>
          </rPr>
          <t>For calculation of Indexed LTCG in case of Debt Funds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Sandip Mukherjee</author>
  </authors>
  <commentList>
    <comment ref="C5" authorId="0" shapeId="0" xr:uid="{00000000-0006-0000-1100-000001000000}">
      <text>
        <r>
          <rPr>
            <b/>
            <sz val="9"/>
            <rFont val="Tahoma"/>
            <charset val="134"/>
          </rPr>
          <t>This input will be used to calculate INDEXATION factor in case of LTCG</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Sandip Mukherjee</author>
  </authors>
  <commentList>
    <comment ref="D2" authorId="0" shapeId="0" xr:uid="{00000000-0006-0000-1200-000001000000}">
      <text>
        <r>
          <rPr>
            <b/>
            <sz val="9"/>
            <rFont val="Tahoma"/>
            <charset val="134"/>
          </rPr>
          <t>What % of investment amount will be withdrawn every year?</t>
        </r>
      </text>
    </comment>
    <comment ref="F2" authorId="0" shapeId="0" xr:uid="{00000000-0006-0000-1200-000002000000}">
      <text>
        <r>
          <rPr>
            <b/>
            <sz val="9"/>
            <rFont val="Tahoma"/>
            <charset val="134"/>
          </rPr>
          <t>What % of investment amount will be withdrawn every year?</t>
        </r>
      </text>
    </comment>
    <comment ref="D3" authorId="0" shapeId="0" xr:uid="{00000000-0006-0000-1200-000003000000}">
      <text>
        <r>
          <rPr>
            <b/>
            <sz val="9"/>
            <rFont val="Tahoma"/>
            <charset val="134"/>
          </rPr>
          <t>For calculation of Indexed LTCG in case of Debt Funds</t>
        </r>
      </text>
    </comment>
    <comment ref="F3" authorId="0" shapeId="0" xr:uid="{00000000-0006-0000-1200-000004000000}">
      <text>
        <r>
          <rPr>
            <b/>
            <sz val="9"/>
            <rFont val="Tahoma"/>
            <charset val="134"/>
          </rPr>
          <t>For calculation of Indexed LTCG in case of Debt Funds</t>
        </r>
      </text>
    </comment>
  </commentList>
</comments>
</file>

<file path=xl/sharedStrings.xml><?xml version="1.0" encoding="utf-8"?>
<sst xmlns="http://schemas.openxmlformats.org/spreadsheetml/2006/main" count="905" uniqueCount="548">
  <si>
    <t xml:space="preserve"> </t>
  </si>
  <si>
    <t>WEALTH ACCUMULATION THROUGH SIP</t>
  </si>
  <si>
    <t>SIP amount (Rs.)</t>
  </si>
  <si>
    <t>SIP tenure (no. of years)</t>
  </si>
  <si>
    <t>Return expected (from Equity MF Schemes)</t>
  </si>
  <si>
    <t>FD</t>
  </si>
  <si>
    <t>MF</t>
  </si>
  <si>
    <r>
      <rPr>
        <sz val="11"/>
        <color theme="1"/>
        <rFont val="Arial"/>
        <charset val="134"/>
      </rPr>
      <t xml:space="preserve">Post Tax Return </t>
    </r>
    <r>
      <rPr>
        <sz val="9"/>
        <color theme="1"/>
        <rFont val="Arial"/>
        <charset val="134"/>
      </rPr>
      <t>(LTCG assumed @10% Exemption up to Rs. 1 lakh gain is ignored here)</t>
    </r>
  </si>
  <si>
    <t>If invested in MF you can create a wealth of (Rs.)</t>
  </si>
  <si>
    <t>Bank FD rate of return</t>
  </si>
  <si>
    <t>Your tax slab</t>
  </si>
  <si>
    <t>Post-tax return from FD</t>
  </si>
  <si>
    <t>If invested in bank FD you can create a wealth of (Rs.)</t>
  </si>
  <si>
    <t>RETURN/YR</t>
  </si>
  <si>
    <t>LOSS DUE TO DELAY IN INVESTMENT</t>
  </si>
  <si>
    <t>No. of years</t>
  </si>
  <si>
    <t>No. of months delayed for investments</t>
  </si>
  <si>
    <t>Expected return* from SIP</t>
  </si>
  <si>
    <t>Saved now</t>
  </si>
  <si>
    <t>Opportunity cost</t>
  </si>
  <si>
    <t>Bank FD rate of interest</t>
  </si>
  <si>
    <t>* LTCG from Equity MF is assumed @10% (Exemption of Rs. 1 lakh gain is ignored here)</t>
  </si>
  <si>
    <t>By starting now you would have got</t>
  </si>
  <si>
    <t>By delaying your investment you'll get</t>
  </si>
  <si>
    <t>Loss arising because of delay</t>
  </si>
  <si>
    <t>Just by not investing now, you've saved</t>
  </si>
  <si>
    <r>
      <rPr>
        <b/>
        <sz val="16"/>
        <color theme="0"/>
        <rFont val="Calibri"/>
        <charset val="134"/>
        <scheme val="minor"/>
      </rPr>
      <t xml:space="preserve">MUTUAL FUND </t>
    </r>
    <r>
      <rPr>
        <b/>
        <sz val="12"/>
        <color theme="0"/>
        <rFont val="Calibri"/>
        <charset val="134"/>
        <scheme val="minor"/>
      </rPr>
      <t>(SIP with or without Lumpsum)</t>
    </r>
  </si>
  <si>
    <t>BANK FD or RD</t>
  </si>
  <si>
    <t>Cost of goal as of today</t>
  </si>
  <si>
    <t>Inflation</t>
  </si>
  <si>
    <t>Bank FD Return</t>
  </si>
  <si>
    <t>No. of years left</t>
  </si>
  <si>
    <t>Future Value</t>
  </si>
  <si>
    <t>Your Tax Slab</t>
  </si>
  <si>
    <t>Expected Return* from Equity Mutual Fund</t>
  </si>
  <si>
    <t>Lumpsum Investment Planned, if any</t>
  </si>
  <si>
    <t>You need to invest per MONTH (Rs.)</t>
  </si>
  <si>
    <t>GOAL PLANNING THROUGH SIP</t>
  </si>
  <si>
    <t>Per month investment required at different rate of returns
for different time horizons</t>
  </si>
  <si>
    <t>Through FD</t>
  </si>
  <si>
    <t>Through MF</t>
  </si>
  <si>
    <t>WEALTH CREATION THROUGH INCREASE IN LOAN TENURE</t>
  </si>
  <si>
    <t>MONTHS</t>
  </si>
  <si>
    <t>EMI</t>
  </si>
  <si>
    <t>INTEREST</t>
  </si>
  <si>
    <t>PRINCIPAL</t>
  </si>
  <si>
    <t>OUTSTANDING</t>
  </si>
  <si>
    <t>RUNNING TOTAL</t>
  </si>
  <si>
    <t>SIP</t>
  </si>
  <si>
    <t>WEALTH</t>
  </si>
  <si>
    <t>Is &gt;= OS</t>
  </si>
  <si>
    <t>ENTER VALUES IN ORANGE HIGHLIGHTED CELLS ONLY</t>
  </si>
  <si>
    <t>IF LOAN TENURE WAS NOT INCREASED</t>
  </si>
  <si>
    <t>ORIGINAL LOAN AMOUNT</t>
  </si>
  <si>
    <t>INTEREST ON LOAN</t>
  </si>
  <si>
    <t>TOTAL OUTGO</t>
  </si>
  <si>
    <r>
      <rPr>
        <b/>
        <sz val="11"/>
        <color rgb="FF000000"/>
        <rFont val="Calibri"/>
        <charset val="134"/>
      </rPr>
      <t>ORIGINAL LOAN TENURE (in</t>
    </r>
    <r>
      <rPr>
        <sz val="11"/>
        <color rgb="FF000000"/>
        <rFont val="Calibri"/>
        <charset val="134"/>
      </rPr>
      <t xml:space="preserve"> </t>
    </r>
    <r>
      <rPr>
        <b/>
        <sz val="11"/>
        <color theme="4"/>
        <rFont val="Calibri"/>
        <charset val="134"/>
      </rPr>
      <t>YEARS</t>
    </r>
    <r>
      <rPr>
        <b/>
        <sz val="11"/>
        <color rgb="FF000000"/>
        <rFont val="Calibri"/>
        <charset val="134"/>
      </rPr>
      <t>)</t>
    </r>
  </si>
  <si>
    <t>(A)</t>
  </si>
  <si>
    <t>PRINCIPAL O/S</t>
  </si>
  <si>
    <t>ORIGINAL EMI</t>
  </si>
  <si>
    <t>WEALTH CREATED</t>
  </si>
  <si>
    <r>
      <rPr>
        <b/>
        <sz val="11"/>
        <color rgb="FF000000"/>
        <rFont val="Calibri"/>
        <charset val="134"/>
      </rPr>
      <t>NO. OF</t>
    </r>
    <r>
      <rPr>
        <sz val="11"/>
        <color rgb="FF000000"/>
        <rFont val="Calibri"/>
        <charset val="134"/>
      </rPr>
      <t xml:space="preserve"> </t>
    </r>
    <r>
      <rPr>
        <b/>
        <sz val="11"/>
        <color theme="4"/>
        <rFont val="Calibri"/>
        <charset val="134"/>
      </rPr>
      <t>MONTHS</t>
    </r>
    <r>
      <rPr>
        <b/>
        <sz val="11"/>
        <color rgb="FFFF0000"/>
        <rFont val="Calibri"/>
        <charset val="134"/>
      </rPr>
      <t xml:space="preserve"> </t>
    </r>
    <r>
      <rPr>
        <b/>
        <sz val="11"/>
        <color rgb="FF000000"/>
        <rFont val="Calibri"/>
        <charset val="134"/>
      </rPr>
      <t>EMI PAID SO FAR</t>
    </r>
  </si>
  <si>
    <t>(B)</t>
  </si>
  <si>
    <t>IF LOAN TENURE WAS INCREASED</t>
  </si>
  <si>
    <r>
      <rPr>
        <b/>
        <sz val="11"/>
        <color rgb="FF000000"/>
        <rFont val="Calibri"/>
        <charset val="134"/>
      </rPr>
      <t>NEW LOAN TENURE (in</t>
    </r>
    <r>
      <rPr>
        <sz val="11"/>
        <color rgb="FF000000"/>
        <rFont val="Calibri"/>
        <charset val="134"/>
      </rPr>
      <t xml:space="preserve"> </t>
    </r>
    <r>
      <rPr>
        <b/>
        <sz val="11"/>
        <color theme="4"/>
        <rFont val="Calibri"/>
        <charset val="134"/>
      </rPr>
      <t>YEARS</t>
    </r>
    <r>
      <rPr>
        <b/>
        <sz val="11"/>
        <color rgb="FF000000"/>
        <rFont val="Calibri"/>
        <charset val="134"/>
      </rPr>
      <t>)</t>
    </r>
  </si>
  <si>
    <t>BALANCE LOAN TENURE</t>
  </si>
  <si>
    <t>MODIFIED EMI</t>
  </si>
  <si>
    <t>SAVING IN EMI or SIP AMOUNT</t>
  </si>
  <si>
    <r>
      <rPr>
        <b/>
        <sz val="11"/>
        <rFont val="Calibri"/>
        <charset val="134"/>
      </rPr>
      <t xml:space="preserve">SIP Tenure </t>
    </r>
    <r>
      <rPr>
        <b/>
        <sz val="11"/>
        <color theme="4"/>
        <rFont val="Calibri"/>
        <charset val="134"/>
      </rPr>
      <t>(A*12 - B)</t>
    </r>
  </si>
  <si>
    <t>EXPECTED RETURN* FROM SIP</t>
  </si>
  <si>
    <t>LOAN CAN BE REPAID AFTER</t>
  </si>
  <si>
    <r>
      <rPr>
        <b/>
        <sz val="11"/>
        <rFont val="Calibri"/>
        <charset val="134"/>
      </rPr>
      <t>Cash-Flow in 2</t>
    </r>
    <r>
      <rPr>
        <b/>
        <vertAlign val="superscript"/>
        <sz val="11"/>
        <rFont val="Calibri"/>
        <charset val="134"/>
      </rPr>
      <t>nd</t>
    </r>
    <r>
      <rPr>
        <b/>
        <sz val="11"/>
        <rFont val="Calibri"/>
        <charset val="134"/>
      </rPr>
      <t xml:space="preserve"> case</t>
    </r>
  </si>
  <si>
    <t>FIND CASH-FLOW COMPARISON AFTER NO. OF YEARS
↓</t>
  </si>
  <si>
    <t>SIP Tenure (in years and months)</t>
  </si>
  <si>
    <t>SIP Tenure (in years)</t>
  </si>
  <si>
    <t>Loan can be repaid in (years)</t>
  </si>
  <si>
    <t>EXPECTED RETURN FROM SIP</t>
  </si>
  <si>
    <t>Total Interest Payment</t>
  </si>
  <si>
    <t>Net Wealth Created</t>
  </si>
  <si>
    <r>
      <rPr>
        <b/>
        <sz val="11"/>
        <rFont val="Calibri"/>
        <charset val="134"/>
      </rPr>
      <t>Cash-Flow in 1</t>
    </r>
    <r>
      <rPr>
        <b/>
        <vertAlign val="superscript"/>
        <sz val="11"/>
        <rFont val="Calibri"/>
        <charset val="134"/>
      </rPr>
      <t>st</t>
    </r>
    <r>
      <rPr>
        <b/>
        <sz val="11"/>
        <rFont val="Calibri"/>
        <charset val="134"/>
      </rPr>
      <t xml:space="preserve"> case</t>
    </r>
  </si>
  <si>
    <t>* There may be one-time loan processing charge while changing of tenure which is to be subtracted from the above created wealth</t>
  </si>
  <si>
    <t>SWP</t>
  </si>
  <si>
    <t>Current age</t>
  </si>
  <si>
    <t>Retirement age</t>
  </si>
  <si>
    <t>Current household expenses</t>
  </si>
  <si>
    <t>Monthly SIP till retirement (Rs.)</t>
  </si>
  <si>
    <t>Inflation rate</t>
  </si>
  <si>
    <t>SIP Step-Up %</t>
  </si>
  <si>
    <t>Household expenses @ retirement</t>
  </si>
  <si>
    <t>Pre-Retirement</t>
  </si>
  <si>
    <t>Post-Retirement</t>
  </si>
  <si>
    <t>Expected return from SIP investments</t>
  </si>
  <si>
    <t>Return (post-tax) expected from SWP</t>
  </si>
  <si>
    <t>After retirement fund would last for:</t>
  </si>
  <si>
    <t>YEAR</t>
  </si>
  <si>
    <t>Start of Year</t>
  </si>
  <si>
    <t>REDEEM</t>
  </si>
  <si>
    <t>BALANCE</t>
  </si>
  <si>
    <t>End of Year</t>
  </si>
  <si>
    <r>
      <rPr>
        <b/>
        <sz val="11"/>
        <color theme="1"/>
        <rFont val="Calibri"/>
        <charset val="134"/>
        <scheme val="minor"/>
      </rPr>
      <t xml:space="preserve">You can alter values in </t>
    </r>
    <r>
      <rPr>
        <b/>
        <sz val="11"/>
        <rFont val="Calibri"/>
        <charset val="134"/>
        <scheme val="minor"/>
      </rPr>
      <t>HIGHLIGHTED</t>
    </r>
    <r>
      <rPr>
        <b/>
        <sz val="11"/>
        <color theme="1"/>
        <rFont val="Calibri"/>
        <charset val="134"/>
        <scheme val="minor"/>
      </rPr>
      <t xml:space="preserve"> cells</t>
    </r>
  </si>
  <si>
    <t>Portfolio</t>
  </si>
  <si>
    <t>Asset Class</t>
  </si>
  <si>
    <t>% Allocation</t>
  </si>
  <si>
    <t>Amount</t>
  </si>
  <si>
    <t>Return (P.T.)</t>
  </si>
  <si>
    <t>Withdrawal Amount</t>
  </si>
  <si>
    <t>Liquidity</t>
  </si>
  <si>
    <t>Liquid / Ultra Short Term Funds, Arbitrage Fund</t>
  </si>
  <si>
    <t>Safety</t>
  </si>
  <si>
    <t>Debt Fund, MIP, FMP, Bonds, NCD</t>
  </si>
  <si>
    <t>Starting Corpus</t>
  </si>
  <si>
    <t>Growth</t>
  </si>
  <si>
    <t>Balanced Fund-Equity, Diversified Equity Funds</t>
  </si>
  <si>
    <t>Current Age</t>
  </si>
  <si>
    <t>PORTFOLIO RETURN</t>
  </si>
  <si>
    <r>
      <rPr>
        <sz val="11"/>
        <color theme="1"/>
        <rFont val="Calibri"/>
        <charset val="134"/>
        <scheme val="minor"/>
      </rPr>
      <t xml:space="preserve">No. of years you can sustain on your fund (i.e. if </t>
    </r>
    <r>
      <rPr>
        <b/>
        <u/>
        <sz val="11"/>
        <color rgb="FFFF0000"/>
        <rFont val="Calibri"/>
        <charset val="134"/>
        <scheme val="minor"/>
      </rPr>
      <t>capital and interest - both are withdrawn</t>
    </r>
    <r>
      <rPr>
        <sz val="10"/>
        <rFont val="Arial"/>
        <charset val="134"/>
      </rPr>
      <t>)</t>
    </r>
  </si>
  <si>
    <t>Total withdrawal</t>
  </si>
  <si>
    <r>
      <rPr>
        <sz val="11"/>
        <color theme="1"/>
        <rFont val="Calibri"/>
        <charset val="134"/>
        <scheme val="minor"/>
      </rPr>
      <t xml:space="preserve">No. of years you can sustain on interest/gain alone (i.e. </t>
    </r>
    <r>
      <rPr>
        <b/>
        <u/>
        <sz val="11"/>
        <color rgb="FFFF0000"/>
        <rFont val="Calibri"/>
        <charset val="134"/>
        <scheme val="minor"/>
      </rPr>
      <t>capital remains intact</t>
    </r>
    <r>
      <rPr>
        <sz val="10"/>
        <rFont val="Arial"/>
        <charset val="134"/>
      </rPr>
      <t>)</t>
    </r>
  </si>
  <si>
    <t>Years</t>
  </si>
  <si>
    <t>Age</t>
  </si>
  <si>
    <t>SoY*
Corpus</t>
  </si>
  <si>
    <t>Yearly
Withdrawal</t>
  </si>
  <si>
    <t>Monthly
Withdrawal</t>
  </si>
  <si>
    <t>Balance
Corpus</t>
  </si>
  <si>
    <t>CHECK</t>
  </si>
  <si>
    <t>Interest / Gain</t>
  </si>
  <si>
    <t>No. of Years</t>
  </si>
  <si>
    <t>EoY*
Corpus</t>
  </si>
  <si>
    <r>
      <rPr>
        <b/>
        <sz val="11"/>
        <color rgb="FFFF0000"/>
        <rFont val="Calibri"/>
        <charset val="134"/>
        <scheme val="minor"/>
      </rPr>
      <t>*SoY</t>
    </r>
    <r>
      <rPr>
        <b/>
        <sz val="11"/>
        <color theme="1"/>
        <rFont val="Calibri"/>
        <charset val="134"/>
        <scheme val="minor"/>
      </rPr>
      <t xml:space="preserve"> </t>
    </r>
    <r>
      <rPr>
        <sz val="10"/>
        <rFont val="Arial"/>
        <charset val="134"/>
      </rPr>
      <t>- Start of Year</t>
    </r>
  </si>
  <si>
    <r>
      <rPr>
        <b/>
        <sz val="11"/>
        <color rgb="FFFF0000"/>
        <rFont val="Calibri"/>
        <charset val="134"/>
        <scheme val="minor"/>
      </rPr>
      <t>*EoY</t>
    </r>
    <r>
      <rPr>
        <b/>
        <sz val="11"/>
        <color theme="1"/>
        <rFont val="Calibri"/>
        <charset val="134"/>
        <scheme val="minor"/>
      </rPr>
      <t xml:space="preserve"> </t>
    </r>
    <r>
      <rPr>
        <sz val="10"/>
        <rFont val="Arial"/>
        <charset val="134"/>
      </rPr>
      <t>- End of Year</t>
    </r>
  </si>
  <si>
    <t>SYSTEMATIC WITHDRAWAL PLAN (SWP)</t>
  </si>
  <si>
    <t>Withdrawal for no. of years</t>
  </si>
  <si>
    <r>
      <rPr>
        <b/>
        <sz val="11"/>
        <color theme="1"/>
        <rFont val="Calibri"/>
        <charset val="134"/>
        <scheme val="minor"/>
      </rPr>
      <t xml:space="preserve">Tax Slab </t>
    </r>
    <r>
      <rPr>
        <sz val="11"/>
        <color theme="1"/>
        <rFont val="Calibri"/>
        <charset val="134"/>
        <scheme val="minor"/>
      </rPr>
      <t>(For Portfolio 2)</t>
    </r>
  </si>
  <si>
    <t>Initial Investment</t>
  </si>
  <si>
    <t>Withdrawal amt. (monthly)</t>
  </si>
  <si>
    <t>Withdrawal start from/after</t>
  </si>
  <si>
    <t>Now</t>
  </si>
  <si>
    <t>1 Year</t>
  </si>
  <si>
    <t>2 Years</t>
  </si>
  <si>
    <t>Portfolio-1 (Mutual Fund)</t>
  </si>
  <si>
    <t>Portfolio-2 (Fixed Deposit)</t>
  </si>
  <si>
    <t>3 Years</t>
  </si>
  <si>
    <t>Avg. Portfolio Return* (p.a.)</t>
  </si>
  <si>
    <t>Avg. Portfolio Return (p.a.)</t>
  </si>
  <si>
    <t>4 Years</t>
  </si>
  <si>
    <t>5 Years</t>
  </si>
  <si>
    <t>6 Years</t>
  </si>
  <si>
    <t>7 Years</t>
  </si>
  <si>
    <t>WITHDRAWAL</t>
  </si>
  <si>
    <t>FUND VALUE</t>
  </si>
  <si>
    <t>8 Years</t>
  </si>
  <si>
    <t>9 Years</t>
  </si>
  <si>
    <t>10 Years</t>
  </si>
  <si>
    <t>11 Years</t>
  </si>
  <si>
    <t>12 Years</t>
  </si>
  <si>
    <t>13 Years</t>
  </si>
  <si>
    <t>14 Years</t>
  </si>
  <si>
    <t>15 Years</t>
  </si>
  <si>
    <t>16 Years</t>
  </si>
  <si>
    <t>17 Years</t>
  </si>
  <si>
    <t>18 Years</t>
  </si>
  <si>
    <t>19 Years</t>
  </si>
  <si>
    <t>20 Years</t>
  </si>
  <si>
    <t>21 Years</t>
  </si>
  <si>
    <t>22 Years</t>
  </si>
  <si>
    <t>23 Years</t>
  </si>
  <si>
    <t>24 Years</t>
  </si>
  <si>
    <t>25 Years</t>
  </si>
  <si>
    <t>26 Years</t>
  </si>
  <si>
    <t>27 Years</t>
  </si>
  <si>
    <t>28 Years</t>
  </si>
  <si>
    <t>29 Years</t>
  </si>
  <si>
    <t>30 Years</t>
  </si>
  <si>
    <t>BENEFITS OF STP</t>
  </si>
  <si>
    <r>
      <rPr>
        <b/>
        <sz val="11"/>
        <rFont val="Arial"/>
        <charset val="134"/>
      </rPr>
      <t>Amount invested</t>
    </r>
    <r>
      <rPr>
        <sz val="11"/>
        <rFont val="Arial"/>
        <charset val="134"/>
      </rPr>
      <t xml:space="preserve"> in LIQUID Fund</t>
    </r>
  </si>
  <si>
    <r>
      <rPr>
        <sz val="11"/>
        <rFont val="Arial"/>
        <charset val="134"/>
      </rPr>
      <t xml:space="preserve">Expected </t>
    </r>
    <r>
      <rPr>
        <b/>
        <sz val="11"/>
        <rFont val="Arial"/>
        <charset val="134"/>
      </rPr>
      <t>return</t>
    </r>
  </si>
  <si>
    <t>Monthly appreciation amount</t>
  </si>
  <si>
    <t>Transter this appreciation amt. systematically to EQUITY Fund</t>
  </si>
  <si>
    <t>Expected return from Equity Fund</t>
  </si>
  <si>
    <t>STP</t>
  </si>
  <si>
    <t>Non-STP</t>
  </si>
  <si>
    <t>Fund value with transferring monthly appreciation amt. to equity fund</t>
  </si>
  <si>
    <t>Fund value without STP route</t>
  </si>
  <si>
    <t>Effective return</t>
  </si>
  <si>
    <t>Incremental earning</t>
  </si>
  <si>
    <t>WEALTH CREATION THROUGH SAVING ON EMI</t>
  </si>
  <si>
    <t>LOAN AMOUNT</t>
  </si>
  <si>
    <t>NEW RATE OF INTEREST</t>
  </si>
  <si>
    <t>INTEREST OF LOAN</t>
  </si>
  <si>
    <r>
      <rPr>
        <b/>
        <sz val="11"/>
        <color rgb="FF000000"/>
        <rFont val="Calibri"/>
        <charset val="134"/>
      </rPr>
      <t>LOAN TENURE (</t>
    </r>
    <r>
      <rPr>
        <sz val="11"/>
        <color rgb="FF000000"/>
        <rFont val="Calibri"/>
        <charset val="134"/>
      </rPr>
      <t>No. of Years</t>
    </r>
    <r>
      <rPr>
        <b/>
        <sz val="11"/>
        <color rgb="FF000000"/>
        <rFont val="Calibri"/>
        <charset val="134"/>
      </rPr>
      <t>)</t>
    </r>
  </si>
  <si>
    <t>SAVING IN EMI</t>
  </si>
  <si>
    <r>
      <rPr>
        <b/>
        <sz val="11"/>
        <color rgb="FF000000"/>
        <rFont val="Calibri"/>
        <charset val="134"/>
      </rPr>
      <t>EMI PAID (</t>
    </r>
    <r>
      <rPr>
        <sz val="11"/>
        <color rgb="FF000000"/>
        <rFont val="Calibri"/>
        <charset val="134"/>
      </rPr>
      <t xml:space="preserve">No. of </t>
    </r>
    <r>
      <rPr>
        <b/>
        <u/>
        <sz val="11"/>
        <color rgb="FF000000"/>
        <rFont val="Calibri"/>
        <charset val="134"/>
      </rPr>
      <t>Months</t>
    </r>
    <r>
      <rPr>
        <b/>
        <sz val="11"/>
        <color rgb="FF000000"/>
        <rFont val="Calibri"/>
        <charset val="134"/>
      </rPr>
      <t>)</t>
    </r>
  </si>
  <si>
    <t>Outflow in 1st case</t>
  </si>
  <si>
    <t>Outflow in 2nd case</t>
  </si>
  <si>
    <t>SIP amt (throughout the residual tenure)</t>
  </si>
  <si>
    <t xml:space="preserve">Total </t>
  </si>
  <si>
    <t>* There will be one-time loan processing charge which is to be subtracted from the above created wealth</t>
  </si>
  <si>
    <t>DATA COLLECTION FORM</t>
  </si>
  <si>
    <t>FILL DATA IN ORANGE HIGHLIGHTED CELLS ONLY</t>
  </si>
  <si>
    <t>DATE:</t>
  </si>
  <si>
    <t>RELATIONSHIP</t>
  </si>
  <si>
    <r>
      <t xml:space="preserve">FULL NAME </t>
    </r>
    <r>
      <rPr>
        <sz val="10"/>
        <color theme="1"/>
        <rFont val="Calibri"/>
        <charset val="134"/>
        <scheme val="minor"/>
      </rPr>
      <t>(add space between first and last name)</t>
    </r>
  </si>
  <si>
    <t>AGE</t>
  </si>
  <si>
    <t>INCOME TYPE</t>
  </si>
  <si>
    <r>
      <rPr>
        <b/>
        <sz val="11"/>
        <color theme="1"/>
        <rFont val="Calibri"/>
        <charset val="134"/>
        <scheme val="minor"/>
      </rPr>
      <t xml:space="preserve">AMT. 
</t>
    </r>
    <r>
      <rPr>
        <sz val="10"/>
        <rFont val="Arial"/>
        <charset val="134"/>
      </rPr>
      <t>(Monthly Avg.)</t>
    </r>
  </si>
  <si>
    <t>SELF</t>
  </si>
  <si>
    <t>SALARY (Self)</t>
  </si>
  <si>
    <t>SPOUSE</t>
  </si>
  <si>
    <t>BUSINESS</t>
  </si>
  <si>
    <t>CHILD 1</t>
  </si>
  <si>
    <t>RENTAL</t>
  </si>
  <si>
    <t>CHILD 2</t>
  </si>
  <si>
    <t>INTEREST / DIVIDEND</t>
  </si>
  <si>
    <t>CHILD 3</t>
  </si>
  <si>
    <t>INCENTIVE / BONUS</t>
  </si>
  <si>
    <t>COST AS OF TODAY</t>
  </si>
  <si>
    <r>
      <rPr>
        <b/>
        <sz val="11"/>
        <color theme="1"/>
        <rFont val="Calibri"/>
        <charset val="134"/>
        <scheme val="minor"/>
      </rPr>
      <t>FINANCIAL GOALS
(</t>
    </r>
    <r>
      <rPr>
        <b/>
        <sz val="11"/>
        <color rgb="FFFF0000"/>
        <rFont val="Calibri"/>
        <charset val="134"/>
        <scheme val="minor"/>
      </rPr>
      <t>Don't mention RETIREMENT</t>
    </r>
    <r>
      <rPr>
        <b/>
        <sz val="11"/>
        <color theme="1"/>
        <rFont val="Calibri"/>
        <charset val="134"/>
        <scheme val="minor"/>
      </rPr>
      <t>)</t>
    </r>
  </si>
  <si>
    <t>Years Left</t>
  </si>
  <si>
    <t>EXPENSE TYPE</t>
  </si>
  <si>
    <t>HOUSEHOLD</t>
  </si>
  <si>
    <t>LIFESTYLE</t>
  </si>
  <si>
    <t>CHILDREN</t>
  </si>
  <si>
    <t>LOAN EMI</t>
  </si>
  <si>
    <t>INSURANCE</t>
  </si>
  <si>
    <t>INVESTMENTS</t>
  </si>
  <si>
    <t>OTHERS</t>
  </si>
  <si>
    <t>INSURANCE etc.</t>
  </si>
  <si>
    <t>AMT.</t>
  </si>
  <si>
    <t>Current Liquid Balance</t>
  </si>
  <si>
    <t>Group Mediclaim</t>
  </si>
  <si>
    <t>Own Mediclaim</t>
  </si>
  <si>
    <t>Loan O/S</t>
  </si>
  <si>
    <t>Vacation - Domestic</t>
  </si>
  <si>
    <t>Retirement Age</t>
  </si>
  <si>
    <t>Group Sum Assured</t>
  </si>
  <si>
    <t>Vacation - International</t>
  </si>
  <si>
    <t>Life Expectancy</t>
  </si>
  <si>
    <t>Own Sum Assured</t>
  </si>
  <si>
    <t>Buying Car</t>
  </si>
  <si>
    <t>Buying House</t>
  </si>
  <si>
    <t>Home Renovation</t>
  </si>
  <si>
    <t>Big Purchase</t>
  </si>
  <si>
    <t>Miscellaneous</t>
  </si>
  <si>
    <t>Wealth Creation</t>
  </si>
  <si>
    <t>GOAL NAME</t>
  </si>
  <si>
    <t>CURRENT VALUE</t>
  </si>
  <si>
    <t>INFLATION</t>
  </si>
  <si>
    <t>FUTURE VALUE</t>
  </si>
  <si>
    <t>RETURN (P.T.)</t>
  </si>
  <si>
    <t>LUMP-SUM</t>
  </si>
  <si>
    <t>Critical Goal?</t>
  </si>
  <si>
    <t>Yes</t>
  </si>
  <si>
    <t xml:space="preserve">INFLATION ASSUMPTION
</t>
  </si>
  <si>
    <t>RETURN (P.T.) EXPECTATION</t>
  </si>
  <si>
    <t>Current Mthly Expenses
(Household + Lifestyle)</t>
  </si>
  <si>
    <t>Future Mthly Expenses
(Household + Lifestyle)</t>
  </si>
  <si>
    <t>Before Retirement</t>
  </si>
  <si>
    <t>After Retirement</t>
  </si>
  <si>
    <t>Retirement Corpus Target</t>
  </si>
  <si>
    <t>Lump-Sum:</t>
  </si>
  <si>
    <t>SIP:</t>
  </si>
  <si>
    <t>Current Monthly Surplus:</t>
  </si>
  <si>
    <t>Total SIP Requirement:</t>
  </si>
  <si>
    <t>LIFE INSURANCE:</t>
  </si>
  <si>
    <t>Spouse's Life Expectancy</t>
  </si>
  <si>
    <t>Discount (%) on Self Demise</t>
  </si>
  <si>
    <t>Return on Claim Amt.</t>
  </si>
  <si>
    <t>Total Life Insurance Cover Reqd.</t>
  </si>
  <si>
    <t>Liquidable Assets' Value</t>
  </si>
  <si>
    <t>Additional Reqd. Cover</t>
  </si>
  <si>
    <t>HEALTH INSURANCE:</t>
  </si>
  <si>
    <t>Recommended Health Cover</t>
  </si>
  <si>
    <t>Existing Cover (Group + Self)</t>
  </si>
  <si>
    <t>CONTINGENCY FUND:</t>
  </si>
  <si>
    <t>Total Monthly Expenses</t>
  </si>
  <si>
    <t>No. of Months' Expenses to keep</t>
  </si>
  <si>
    <t>Additional Fund Reqd.</t>
  </si>
  <si>
    <t>QUICK CALC (Lump-Sum)</t>
  </si>
  <si>
    <r>
      <rPr>
        <b/>
        <sz val="10"/>
        <color theme="0"/>
        <rFont val="Arial"/>
        <charset val="134"/>
      </rPr>
      <t>FUTURE VALUE</t>
    </r>
    <r>
      <rPr>
        <sz val="10"/>
        <color theme="0"/>
        <rFont val="Arial"/>
        <charset val="134"/>
      </rPr>
      <t xml:space="preserve"> OF LUMP-SUM INVESTMENT</t>
    </r>
  </si>
  <si>
    <r>
      <rPr>
        <sz val="10"/>
        <color theme="0"/>
        <rFont val="Arial"/>
        <charset val="134"/>
      </rPr>
      <t xml:space="preserve">LUMP-SUM </t>
    </r>
    <r>
      <rPr>
        <b/>
        <sz val="10"/>
        <color theme="0"/>
        <rFont val="Arial"/>
        <charset val="134"/>
      </rPr>
      <t>INVESTMENT REQD.</t>
    </r>
    <r>
      <rPr>
        <sz val="10"/>
        <color theme="0"/>
        <rFont val="Arial"/>
        <charset val="134"/>
      </rPr>
      <t xml:space="preserve"> FOR FUTURE GOAL</t>
    </r>
  </si>
  <si>
    <t>Lump-Sum Investment</t>
  </si>
  <si>
    <t>Money required for future goal</t>
  </si>
  <si>
    <t>Return</t>
  </si>
  <si>
    <t>EXPECTED MATURITY AMOUNT</t>
  </si>
  <si>
    <t>REQUIRED INVESTMENT AMOUNT</t>
  </si>
  <si>
    <r>
      <rPr>
        <b/>
        <sz val="10"/>
        <color theme="0"/>
        <rFont val="Arial"/>
        <charset val="134"/>
      </rPr>
      <t xml:space="preserve">NO. OF YEARS REQD. </t>
    </r>
    <r>
      <rPr>
        <sz val="10"/>
        <color theme="0"/>
        <rFont val="Arial"/>
        <charset val="134"/>
      </rPr>
      <t>TO REACH A MATURITY VALUE</t>
    </r>
  </si>
  <si>
    <r>
      <rPr>
        <b/>
        <sz val="10"/>
        <color theme="0"/>
        <rFont val="Arial"/>
        <charset val="134"/>
      </rPr>
      <t>REQUIRED RETURN</t>
    </r>
    <r>
      <rPr>
        <sz val="10"/>
        <color theme="0"/>
        <rFont val="Arial"/>
        <charset val="134"/>
      </rPr>
      <t xml:space="preserve"> TO ACHIEVE FUTURE GOAL</t>
    </r>
  </si>
  <si>
    <t>NO. OF YEARS REQUIRED</t>
  </si>
  <si>
    <t>REQUIRED RATE OF RETURN</t>
  </si>
  <si>
    <t>QUICK CALC (SIP)</t>
  </si>
  <si>
    <r>
      <rPr>
        <b/>
        <sz val="10"/>
        <color theme="0"/>
        <rFont val="Arial"/>
        <charset val="134"/>
      </rPr>
      <t>FUTURE VALUE</t>
    </r>
    <r>
      <rPr>
        <sz val="10"/>
        <color theme="0"/>
        <rFont val="Arial"/>
        <charset val="134"/>
      </rPr>
      <t xml:space="preserve"> OF SIP INVESTMENT</t>
    </r>
  </si>
  <si>
    <r>
      <rPr>
        <sz val="10"/>
        <color theme="0"/>
        <rFont val="Arial"/>
        <charset val="134"/>
      </rPr>
      <t xml:space="preserve">SIP </t>
    </r>
    <r>
      <rPr>
        <b/>
        <sz val="10"/>
        <color theme="0"/>
        <rFont val="Arial"/>
        <charset val="134"/>
      </rPr>
      <t>INVESTMENT REQD.</t>
    </r>
    <r>
      <rPr>
        <sz val="10"/>
        <color theme="0"/>
        <rFont val="Arial"/>
        <charset val="134"/>
      </rPr>
      <t xml:space="preserve"> FOR FUTURE GOAL</t>
    </r>
  </si>
  <si>
    <t>SIP Frequency</t>
  </si>
  <si>
    <t>Monthly</t>
  </si>
  <si>
    <t>SIP Investment</t>
  </si>
  <si>
    <t>Lumpsum Investment</t>
  </si>
  <si>
    <t>Quarterly</t>
  </si>
  <si>
    <t>Bi-Yearly</t>
  </si>
  <si>
    <t>Yearly</t>
  </si>
  <si>
    <t>REQUIRED SIP AMOUNT</t>
  </si>
  <si>
    <r>
      <rPr>
        <b/>
        <sz val="10"/>
        <color theme="0"/>
        <rFont val="Arial"/>
        <charset val="134"/>
      </rPr>
      <t>NO. OF YEARS REQD.</t>
    </r>
    <r>
      <rPr>
        <sz val="10"/>
        <color theme="0"/>
        <rFont val="Arial"/>
        <charset val="134"/>
      </rPr>
      <t xml:space="preserve"> TO REACH A MATURITY VALUE</t>
    </r>
  </si>
  <si>
    <t>Investment Amt.</t>
  </si>
  <si>
    <t>Particulars</t>
  </si>
  <si>
    <t>DEBT FUND</t>
  </si>
  <si>
    <t>FIXED DEPOSIT</t>
  </si>
  <si>
    <t>CII</t>
  </si>
  <si>
    <t>YEARS</t>
  </si>
  <si>
    <t>FD Return (p.a.)</t>
  </si>
  <si>
    <t>Principal Amount</t>
  </si>
  <si>
    <t>2001-02</t>
  </si>
  <si>
    <t>Tax Slab</t>
  </si>
  <si>
    <t xml:space="preserve">Expected rate of return </t>
  </si>
  <si>
    <t>2002-03</t>
  </si>
  <si>
    <t>MF* Return (p.a.)</t>
  </si>
  <si>
    <t>Tenure of investment (in years)</t>
  </si>
  <si>
    <t>2003-04</t>
  </si>
  <si>
    <t>Purchase FY</t>
  </si>
  <si>
    <t>2016-17</t>
  </si>
  <si>
    <t>Maturity Value</t>
  </si>
  <si>
    <t>2004-05</t>
  </si>
  <si>
    <t>Sale FY</t>
  </si>
  <si>
    <t>2020-21</t>
  </si>
  <si>
    <t>Interest Income</t>
  </si>
  <si>
    <t>NA</t>
  </si>
  <si>
    <t>2005-06</t>
  </si>
  <si>
    <t>*By MF here it's assumed Debt Fund</t>
  </si>
  <si>
    <t>2006-07</t>
  </si>
  <si>
    <t>TAX TREATMENT:
Debt Fund Vs. FD</t>
  </si>
  <si>
    <t>2007-08</t>
  </si>
  <si>
    <t>2008-09</t>
  </si>
  <si>
    <t>Applicable tax rate</t>
  </si>
  <si>
    <t>2009-10</t>
  </si>
  <si>
    <t>Tax Payable</t>
  </si>
  <si>
    <t>2010-11</t>
  </si>
  <si>
    <t>Net gain</t>
  </si>
  <si>
    <t>2011-12</t>
  </si>
  <si>
    <t>2012-13</t>
  </si>
  <si>
    <t>Post Tax Return at Maturity</t>
  </si>
  <si>
    <t>2013-14</t>
  </si>
  <si>
    <t>2014-15</t>
  </si>
  <si>
    <t>2015-16</t>
  </si>
  <si>
    <t>2017-18</t>
  </si>
  <si>
    <t>2018-19</t>
  </si>
  <si>
    <t>2019-20</t>
  </si>
  <si>
    <t>Enter data in orange highlighted cells only</t>
  </si>
  <si>
    <t>Choose MF Type:</t>
  </si>
  <si>
    <t>Withdrawal % in case of SWP (Growth mode)</t>
  </si>
  <si>
    <t>Balanced /Equity</t>
  </si>
  <si>
    <t>Different than MF Rate of Return</t>
  </si>
  <si>
    <r>
      <rPr>
        <b/>
        <sz val="11"/>
        <color theme="1"/>
        <rFont val="Calibri"/>
        <charset val="134"/>
        <scheme val="minor"/>
      </rPr>
      <t xml:space="preserve">MF Return </t>
    </r>
    <r>
      <rPr>
        <sz val="11"/>
        <color theme="1"/>
        <rFont val="Calibri"/>
        <charset val="134"/>
        <scheme val="minor"/>
      </rPr>
      <t>(p.a.)</t>
    </r>
  </si>
  <si>
    <t>Debt Fund</t>
  </si>
  <si>
    <t>If you choose a withdrawal rate which is higher than the MF return (p.a.) then dividend part of the analysis will show blank, as dividend are compulsorily to be paid out from realized gain only.
It is assumed here that the long term capital gain (LTCG) at the end of the tenure will be earned only from the mentioned investments. If LTCG from other equity investments are realised in the same year then composite gain will be considered to calculate Rs. 1 lakh exemption limit.</t>
  </si>
  <si>
    <t>STCG
TAX PAID</t>
  </si>
  <si>
    <t>LTCG
TAX PAID</t>
  </si>
  <si>
    <t>TOTAL
TAX PAID</t>
  </si>
  <si>
    <t>EFFECTIVE 
TAX RATE</t>
  </si>
  <si>
    <t>TAX PAID</t>
  </si>
  <si>
    <t>TOTAL</t>
  </si>
  <si>
    <t>Fund Value After 5 Years:</t>
  </si>
  <si>
    <t>SWP vs DIVIDEND</t>
  </si>
  <si>
    <r>
      <rPr>
        <b/>
        <sz val="11"/>
        <color theme="1"/>
        <rFont val="Calibri"/>
        <charset val="134"/>
        <scheme val="minor"/>
      </rPr>
      <t xml:space="preserve">Return </t>
    </r>
    <r>
      <rPr>
        <sz val="11"/>
        <color theme="1"/>
        <rFont val="Calibri"/>
        <charset val="134"/>
        <scheme val="minor"/>
      </rPr>
      <t>(p.a.)</t>
    </r>
  </si>
  <si>
    <t>Will my fund last for full 60 months?</t>
  </si>
  <si>
    <t>Taxation on Dividend</t>
  </si>
  <si>
    <t>INV. AMT.</t>
  </si>
  <si>
    <r>
      <rPr>
        <b/>
        <sz val="11"/>
        <color theme="1"/>
        <rFont val="Calibri"/>
        <charset val="134"/>
        <scheme val="minor"/>
      </rPr>
      <t xml:space="preserve">Withdrawal % </t>
    </r>
    <r>
      <rPr>
        <sz val="11"/>
        <color theme="1"/>
        <rFont val="Calibri"/>
        <charset val="134"/>
        <scheme val="minor"/>
      </rPr>
      <t>(p.a.)</t>
    </r>
  </si>
  <si>
    <t>Equity</t>
  </si>
  <si>
    <t>Tax Rate</t>
  </si>
  <si>
    <t>Choose Fund Type</t>
  </si>
  <si>
    <t>What will be the fund value then?</t>
  </si>
  <si>
    <t>Debt</t>
  </si>
  <si>
    <r>
      <rPr>
        <b/>
        <sz val="11"/>
        <color theme="1"/>
        <rFont val="Calibri"/>
        <charset val="134"/>
        <scheme val="minor"/>
      </rPr>
      <t xml:space="preserve">Tax Slab </t>
    </r>
    <r>
      <rPr>
        <sz val="11"/>
        <color theme="1"/>
        <rFont val="Calibri"/>
        <charset val="134"/>
        <scheme val="minor"/>
      </rPr>
      <t>(incl. S.T.)</t>
    </r>
  </si>
  <si>
    <t>Month</t>
  </si>
  <si>
    <t>Amount
Withdrawn</t>
  </si>
  <si>
    <t>NAV</t>
  </si>
  <si>
    <t>No. of Units
Redeemed</t>
  </si>
  <si>
    <t>Units</t>
  </si>
  <si>
    <t>STCG</t>
  </si>
  <si>
    <t>LTCG</t>
  </si>
  <si>
    <t>Indexed LTCG</t>
  </si>
  <si>
    <t>Tax Paid</t>
  </si>
  <si>
    <t>Fund Value</t>
  </si>
  <si>
    <t>Dividend Released</t>
  </si>
  <si>
    <t>Dividend Received</t>
  </si>
  <si>
    <t>Dividend %</t>
  </si>
  <si>
    <t>Pre
NAV</t>
  </si>
  <si>
    <t>Post
NAV</t>
  </si>
  <si>
    <t>Gross</t>
  </si>
  <si>
    <t>Net</t>
  </si>
  <si>
    <t>Withdrawal % in case of MF</t>
  </si>
  <si>
    <t>Similar to FD</t>
  </si>
  <si>
    <r>
      <rPr>
        <b/>
        <sz val="11"/>
        <color theme="1"/>
        <rFont val="Calibri"/>
        <charset val="134"/>
        <scheme val="minor"/>
      </rPr>
      <t>MF Return</t>
    </r>
    <r>
      <rPr>
        <sz val="11"/>
        <color theme="1"/>
        <rFont val="Calibri"/>
        <charset val="134"/>
        <scheme val="minor"/>
      </rPr>
      <t>(p.a.)</t>
    </r>
  </si>
  <si>
    <t>Monthly Compounding Rate</t>
  </si>
  <si>
    <r>
      <rPr>
        <b/>
        <sz val="11"/>
        <color theme="1"/>
        <rFont val="Calibri"/>
        <charset val="134"/>
        <scheme val="minor"/>
      </rPr>
      <t>FD Return</t>
    </r>
    <r>
      <rPr>
        <sz val="11"/>
        <color theme="1"/>
        <rFont val="Calibri"/>
        <charset val="134"/>
        <scheme val="minor"/>
      </rPr>
      <t>(p.a.)</t>
    </r>
  </si>
  <si>
    <t>It is assumed here that the long term capital gain (LTCG) at the end of the tenure will be earned only from the mentioned investments. If LTCG from other equity investments are realised in the same year then composite gain will be considered to calculate Rs. 1 lakh exemption limit.</t>
  </si>
  <si>
    <t>FD Interest Payout</t>
  </si>
  <si>
    <t>SWP vs FD Interest</t>
  </si>
  <si>
    <r>
      <rPr>
        <b/>
        <sz val="11"/>
        <color theme="1"/>
        <rFont val="Calibri"/>
        <charset val="134"/>
        <scheme val="minor"/>
      </rPr>
      <t xml:space="preserve">FD Return </t>
    </r>
    <r>
      <rPr>
        <sz val="11"/>
        <color theme="1"/>
        <rFont val="Calibri"/>
        <charset val="134"/>
        <scheme val="minor"/>
      </rPr>
      <t>(p.a.)</t>
    </r>
  </si>
  <si>
    <t>SIP TOP-UP CALC</t>
  </si>
  <si>
    <t>SIP Amount</t>
  </si>
  <si>
    <t>SIP Tenure (in no. of Years)</t>
  </si>
  <si>
    <t>Avg. Annual Return (P.T.) Assumed</t>
  </si>
  <si>
    <r>
      <rPr>
        <b/>
        <sz val="14"/>
        <color theme="1"/>
        <rFont val="Calibri"/>
        <charset val="134"/>
        <scheme val="minor"/>
      </rPr>
      <t>Increase</t>
    </r>
    <r>
      <rPr>
        <sz val="14"/>
        <color theme="1"/>
        <rFont val="Calibri"/>
        <charset val="134"/>
        <scheme val="minor"/>
      </rPr>
      <t xml:space="preserve"> SIP contribution by fixed</t>
    </r>
  </si>
  <si>
    <t>Increase SIP amount upto</t>
  </si>
  <si>
    <t>Avg. Annual Return Assumed</t>
  </si>
  <si>
    <t>Increase SIP by Fixed Amount</t>
  </si>
  <si>
    <t>Increase SIP amount by fixed %</t>
  </si>
  <si>
    <t>SIP Amt.</t>
  </si>
  <si>
    <r>
      <rPr>
        <b/>
        <sz val="16"/>
        <color theme="1"/>
        <rFont val="Calibri"/>
        <charset val="134"/>
        <scheme val="minor"/>
      </rPr>
      <t xml:space="preserve">Total Wealth in case of </t>
    </r>
    <r>
      <rPr>
        <b/>
        <u/>
        <sz val="16"/>
        <color rgb="FFFF0000"/>
        <rFont val="Calibri"/>
        <charset val="134"/>
        <scheme val="minor"/>
      </rPr>
      <t>Step-Up SIP</t>
    </r>
  </si>
  <si>
    <r>
      <rPr>
        <b/>
        <sz val="12"/>
        <color theme="1"/>
        <rFont val="Calibri"/>
        <charset val="134"/>
        <scheme val="minor"/>
      </rPr>
      <t xml:space="preserve">TOTAL INVESTMENT 
in case of </t>
    </r>
    <r>
      <rPr>
        <b/>
        <u/>
        <sz val="12"/>
        <color rgb="FFFF0000"/>
        <rFont val="Calibri"/>
        <charset val="134"/>
        <scheme val="minor"/>
      </rPr>
      <t>Step-Up SIP</t>
    </r>
  </si>
  <si>
    <t>Total Wealth in case of Normal SIP</t>
  </si>
  <si>
    <t>TOTAL INVESTMENT 
in case of Normal SIP</t>
  </si>
  <si>
    <t>Total</t>
  </si>
  <si>
    <t>SIP Amt. Per Month</t>
  </si>
  <si>
    <t>TYPE</t>
  </si>
  <si>
    <t>Amt. Invested</t>
  </si>
  <si>
    <t>Wealth Created</t>
  </si>
  <si>
    <t>Year</t>
  </si>
  <si>
    <t>Normal SIP</t>
  </si>
  <si>
    <t>Step Up SIP</t>
  </si>
  <si>
    <t>SUMMARY</t>
  </si>
  <si>
    <t>Difference</t>
  </si>
  <si>
    <r>
      <rPr>
        <sz val="14"/>
        <color theme="1"/>
        <rFont val="Calibri"/>
        <charset val="134"/>
        <scheme val="minor"/>
      </rPr>
      <t xml:space="preserve">As your income grows over the years, your all other expenses keep growing - so should your investment. 
</t>
    </r>
    <r>
      <rPr>
        <b/>
        <sz val="14"/>
        <color rgb="FFFF0000"/>
        <rFont val="Calibri"/>
        <charset val="134"/>
        <scheme val="minor"/>
      </rPr>
      <t>Top up your SIPs regularly!</t>
    </r>
    <r>
      <rPr>
        <sz val="14"/>
        <color theme="1"/>
        <rFont val="Calibri"/>
        <charset val="134"/>
        <scheme val="minor"/>
      </rPr>
      <t xml:space="preserve"> It's easy on pocket, rewarding at maturity!!</t>
    </r>
  </si>
  <si>
    <t>Initial SIP Amt.</t>
  </si>
  <si>
    <t>Return assumed</t>
  </si>
  <si>
    <t>SIP Tenure (Yrs.)</t>
  </si>
  <si>
    <t>Max SIP Amt.</t>
  </si>
  <si>
    <t>CAPITAL GAIN CALCULATOR</t>
  </si>
  <si>
    <t>For Equity MF Units Purchased on or After 31/01/2018</t>
  </si>
  <si>
    <t>FOR LUMPSUM INVESTMENT</t>
  </si>
  <si>
    <t>FOR SIP INVESTMENT</t>
  </si>
  <si>
    <t>Return Assumed (p.a.)</t>
  </si>
  <si>
    <r>
      <rPr>
        <b/>
        <sz val="11"/>
        <color rgb="FFFF0000"/>
        <rFont val="Calibri"/>
        <charset val="134"/>
        <scheme val="minor"/>
      </rPr>
      <t>LumpSum</t>
    </r>
    <r>
      <rPr>
        <sz val="10"/>
        <rFont val="Arial"/>
        <charset val="134"/>
      </rPr>
      <t xml:space="preserve"> Amt Invested or Fund Value 
as on or after 31/01/2018</t>
    </r>
  </si>
  <si>
    <t>Existing SIP's Fund Value as on 31/01/2018</t>
  </si>
  <si>
    <r>
      <rPr>
        <sz val="11"/>
        <color theme="1"/>
        <rFont val="Calibri"/>
        <charset val="134"/>
        <scheme val="minor"/>
      </rPr>
      <t xml:space="preserve">Tenure </t>
    </r>
    <r>
      <rPr>
        <sz val="10"/>
        <color theme="1"/>
        <rFont val="Calibri"/>
        <charset val="134"/>
        <scheme val="minor"/>
      </rPr>
      <t>(No. of Years 
anytime after 31/01/2018)</t>
    </r>
  </si>
  <si>
    <r>
      <rPr>
        <b/>
        <sz val="11"/>
        <color rgb="FFFF0000"/>
        <rFont val="Calibri"/>
        <charset val="134"/>
        <scheme val="minor"/>
      </rPr>
      <t>SIP</t>
    </r>
    <r>
      <rPr>
        <sz val="10"/>
        <rFont val="Arial"/>
        <charset val="134"/>
      </rPr>
      <t xml:space="preserve"> Amount (per month)</t>
    </r>
  </si>
  <si>
    <t>YES</t>
  </si>
  <si>
    <t>NO</t>
  </si>
  <si>
    <t>Will SIP Stop 1 Year Before Redemption?</t>
  </si>
  <si>
    <t>Long Term Capital Gain (LTCG)</t>
  </si>
  <si>
    <t>Taxable LTCG (Beyond 1 Lakh)</t>
  </si>
  <si>
    <t>Short Term Capital Gain (STCG)</t>
  </si>
  <si>
    <t>SIP can't stop 1 year before, if tenure itself is 1 year (so it is assumed NO)!</t>
  </si>
  <si>
    <t>LTCG Tax Rate on Eq. MF (incl. cess)</t>
  </si>
  <si>
    <t>LTCG Tax Paid</t>
  </si>
  <si>
    <t>Enter Values in
Highlighted Cells Only</t>
  </si>
  <si>
    <t>Future Value (Net of Tax)</t>
  </si>
  <si>
    <t>Effective Return (p.a.)</t>
  </si>
  <si>
    <t>STCG Tax Paid @ 15% (incl. cess)</t>
  </si>
  <si>
    <t>For Equity MF Units Purchased Before 31/01/2018</t>
  </si>
  <si>
    <t>PURCHASE DETAILS</t>
  </si>
  <si>
    <t>GRANDFATHERING DETAILS</t>
  </si>
  <si>
    <t>REDEMPTION DETAILS</t>
  </si>
  <si>
    <t>Date</t>
  </si>
  <si>
    <t>Cost of Acquisition</t>
  </si>
  <si>
    <t>No. of Units</t>
  </si>
  <si>
    <t>STT</t>
  </si>
  <si>
    <t>STT Amt</t>
  </si>
  <si>
    <t>Is investor an NRI?</t>
  </si>
  <si>
    <t>TDS</t>
  </si>
  <si>
    <t>TDS Amt.</t>
  </si>
  <si>
    <t>Redemption Amt</t>
  </si>
  <si>
    <t>GOAL DETAILS</t>
  </si>
  <si>
    <t xml:space="preserve">ASSET ALLOCATION
</t>
  </si>
  <si>
    <t>RETURN ASSUMPTIONS (P.T.)</t>
  </si>
  <si>
    <t>Current Cost of Goal</t>
  </si>
  <si>
    <t>Hybrid</t>
  </si>
  <si>
    <t>Amt is due after years</t>
  </si>
  <si>
    <t>Lumpsum</t>
  </si>
  <si>
    <t>SIP to be</t>
  </si>
  <si>
    <t>Target Amt</t>
  </si>
  <si>
    <t>Continued?</t>
  </si>
  <si>
    <t>SIP Amt</t>
  </si>
  <si>
    <t>First</t>
  </si>
  <si>
    <t>Lumpsum Amt</t>
  </si>
  <si>
    <t>Next</t>
  </si>
  <si>
    <t>Last</t>
  </si>
  <si>
    <r>
      <rPr>
        <b/>
        <sz val="16"/>
        <color theme="0"/>
        <rFont val="Calibri"/>
        <charset val="134"/>
        <scheme val="minor"/>
      </rPr>
      <t xml:space="preserve">CAN THE </t>
    </r>
    <r>
      <rPr>
        <b/>
        <u/>
        <sz val="16"/>
        <color theme="0"/>
        <rFont val="Calibri"/>
        <charset val="134"/>
        <scheme val="minor"/>
      </rPr>
      <t>GOAL</t>
    </r>
    <r>
      <rPr>
        <b/>
        <sz val="16"/>
        <color theme="0"/>
        <rFont val="Calibri"/>
        <charset val="134"/>
        <scheme val="minor"/>
      </rPr>
      <t xml:space="preserve"> BE ACHIEVED WITH THE ABOVE 
</t>
    </r>
    <r>
      <rPr>
        <b/>
        <u/>
        <sz val="16"/>
        <color theme="0"/>
        <rFont val="Calibri"/>
        <charset val="134"/>
        <scheme val="minor"/>
      </rPr>
      <t>ASSET ALLOCATION</t>
    </r>
    <r>
      <rPr>
        <b/>
        <sz val="16"/>
        <color theme="0"/>
        <rFont val="Calibri"/>
        <charset val="134"/>
        <scheme val="minor"/>
      </rPr>
      <t>?</t>
    </r>
  </si>
  <si>
    <t>PORTFOLIO ASSET ALLOCATION CALCULATOR</t>
  </si>
  <si>
    <r>
      <rPr>
        <b/>
        <sz val="9"/>
        <color theme="3" tint="0.39994506668294322"/>
        <rFont val="Arial"/>
        <charset val="134"/>
      </rPr>
      <t xml:space="preserve">LUMP SUM INVESTMENT DETAILS </t>
    </r>
    <r>
      <rPr>
        <b/>
        <sz val="9"/>
        <color theme="3" tint="0.39994506668294322"/>
        <rFont val="Wingdings"/>
        <charset val="2"/>
      </rPr>
      <t>à</t>
    </r>
  </si>
  <si>
    <t>INVESTMENT HORIZON (NO. OF YEARS)</t>
  </si>
  <si>
    <r>
      <rPr>
        <b/>
        <sz val="9"/>
        <color theme="3" tint="0.39994506668294322"/>
        <rFont val="Arial"/>
        <charset val="134"/>
      </rPr>
      <t xml:space="preserve">SIP INVESTMENT DETAILS </t>
    </r>
    <r>
      <rPr>
        <b/>
        <sz val="9"/>
        <color theme="3" tint="0.39994506668294322"/>
        <rFont val="Wingdings"/>
        <charset val="2"/>
      </rPr>
      <t>à</t>
    </r>
  </si>
  <si>
    <t>NAME</t>
  </si>
  <si>
    <t>ASSET ALLOCATION (SIP)</t>
  </si>
  <si>
    <t>AMOUNT</t>
  </si>
  <si>
    <t>ASSET ALLOCATION (LUMP SUM)</t>
  </si>
  <si>
    <t>Contra</t>
  </si>
  <si>
    <t>Aggressive Hybrid</t>
  </si>
  <si>
    <t>Banking &amp; PSU</t>
  </si>
  <si>
    <t>Commodity ETF</t>
  </si>
  <si>
    <t>Lump Sum</t>
  </si>
  <si>
    <t>EQUITY</t>
  </si>
  <si>
    <t>HYBRID</t>
  </si>
  <si>
    <t>DEBT</t>
  </si>
  <si>
    <t>COMMODITY</t>
  </si>
  <si>
    <t>Dividend Yield</t>
  </si>
  <si>
    <t>Arbitrage</t>
  </si>
  <si>
    <t>Corporate Bond</t>
  </si>
  <si>
    <t>Commodity FOF</t>
  </si>
  <si>
    <t>ELSS</t>
  </si>
  <si>
    <t>Balanced Hybrid</t>
  </si>
  <si>
    <t>Credit Risk</t>
  </si>
  <si>
    <t>Commodity</t>
  </si>
  <si>
    <t>Flexi Cap</t>
  </si>
  <si>
    <t>Capital Protection</t>
  </si>
  <si>
    <t>Dynamic Bond</t>
  </si>
  <si>
    <t>ALLOCATED</t>
  </si>
  <si>
    <t>Focused</t>
  </si>
  <si>
    <t>Children Fund</t>
  </si>
  <si>
    <t>Floater</t>
  </si>
  <si>
    <t>SHORTFALL</t>
  </si>
  <si>
    <t>FOF</t>
  </si>
  <si>
    <t>Conservative Hybrid</t>
  </si>
  <si>
    <t>FMP</t>
  </si>
  <si>
    <t>ASSUMED
RETURN</t>
  </si>
  <si>
    <t>Index</t>
  </si>
  <si>
    <t>Dynamic Asset Allocation</t>
  </si>
  <si>
    <t>Gilt</t>
  </si>
  <si>
    <t>Large &amp; Mid Cap</t>
  </si>
  <si>
    <t>Equity Savings</t>
  </si>
  <si>
    <t>Infrastructure</t>
  </si>
  <si>
    <t>EXPECTED FV OF SIP INVESTMENTS</t>
  </si>
  <si>
    <t>EXPECTED FV OF LUMP SUM INVESTMENTS</t>
  </si>
  <si>
    <t>Large Cap</t>
  </si>
  <si>
    <t>Multi Asset Allocation</t>
  </si>
  <si>
    <t>Liquid/Overnight</t>
  </si>
  <si>
    <t>SL NO.</t>
  </si>
  <si>
    <t>SCHEME NAME</t>
  </si>
  <si>
    <t>CATEGORY</t>
  </si>
  <si>
    <t>SUB-CATEGORY</t>
  </si>
  <si>
    <t>INV TYPE</t>
  </si>
  <si>
    <t>EXPECTED
FV</t>
  </si>
  <si>
    <t>Mid Cap</t>
  </si>
  <si>
    <t>Retirement Fund</t>
  </si>
  <si>
    <t>Long Duration</t>
  </si>
  <si>
    <t>Multi Cap</t>
  </si>
  <si>
    <t>Low Duration</t>
  </si>
  <si>
    <t>Sectoral</t>
  </si>
  <si>
    <t>Medium Duration</t>
  </si>
  <si>
    <t>Small Cap</t>
  </si>
  <si>
    <t>Medium to Long Duration</t>
  </si>
  <si>
    <t>Thematic</t>
  </si>
  <si>
    <t>Short Duration</t>
  </si>
  <si>
    <t>Value</t>
  </si>
  <si>
    <t>Ultra Short Duration</t>
  </si>
  <si>
    <t>DISCLAIMER</t>
  </si>
  <si>
    <t xml:space="preserve">These calculators are designed combining a set of mathematical formulas and functions. Utmost care is taken in creating the formulas. Certain assumptions are made while designing the calculators. The output so generated only helps the investors in making investment decisions. It may not or may not be suited to investor's needs or according to investor's own assumptions. Prudent CAS Ltd or any of it employees or Partners are not responsible for any losses arising due to the usage of these calculators, or for any investments taken on its basis. </t>
  </si>
  <si>
    <t>The Calculator is developed by the Research Department of Prudent CAS Ltd.</t>
  </si>
  <si>
    <t xml:space="preserve">Mutual Fund Investments are subject to market risk. Please read the offer document carefully before investing.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</si>
</sst>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5" formatCode="&quot;₹&quot;\ #,##0;&quot;₹&quot;\ \-#,##0"/>
    <numFmt numFmtId="6" formatCode="&quot;₹&quot;\ #,##0;[Red]&quot;₹&quot;\ \-#,##0"/>
    <numFmt numFmtId="8" formatCode="&quot;₹&quot;\ #,##0.00;[Red]&quot;₹&quot;\ \-#,##0.00"/>
    <numFmt numFmtId="43" formatCode="_ * #,##0.00_ ;_ * \-#,##0.00_ ;_ * &quot;-&quot;??_ ;_ @_ "/>
    <numFmt numFmtId="164" formatCode="_(* #,##0.00_);_(* \(#,##0.00\);_(* &quot;-&quot;??_);_(@_)"/>
    <numFmt numFmtId="165" formatCode="_(* #,##0_);_(* \(#,##0\);_(* &quot;-&quot;??_);_(@_)"/>
    <numFmt numFmtId="166" formatCode="_ * #,##0_ ;_ * \-#,##0_ ;_ * &quot;-&quot;??_ ;_ @_ "/>
    <numFmt numFmtId="167" formatCode="0.0000_ "/>
    <numFmt numFmtId="168" formatCode="0.0000"/>
    <numFmt numFmtId="169" formatCode="0.000%"/>
    <numFmt numFmtId="170" formatCode="&quot;₹&quot;#,##0.00_);[Red]\(&quot;₹&quot;#,##0.00\)"/>
    <numFmt numFmtId="171" formatCode="[&gt;=10000000]##\,##\,##\,##0;[&gt;=100000]\ ##\,##\,##0;##,##0"/>
    <numFmt numFmtId="172" formatCode="0.0"/>
    <numFmt numFmtId="173" formatCode="[$-409]d/mmm/yy;@"/>
    <numFmt numFmtId="174" formatCode="&quot;$&quot;#,##0.00_);[Red]\(&quot;$&quot;#,##0.00\)"/>
    <numFmt numFmtId="175" formatCode="[$-F800]dddd\,\ mmmm\ dd\,\ yyyy"/>
  </numFmts>
  <fonts count="124">
    <font>
      <sz val="10"/>
      <name val="Arial"/>
      <charset val="134"/>
    </font>
    <font>
      <u/>
      <sz val="20"/>
      <color theme="1"/>
      <name val="Calibri"/>
      <charset val="134"/>
    </font>
    <font>
      <b/>
      <sz val="12"/>
      <color theme="3"/>
      <name val="Arial"/>
      <charset val="134"/>
    </font>
    <font>
      <b/>
      <u/>
      <sz val="10"/>
      <color theme="3"/>
      <name val="Arial"/>
      <charset val="134"/>
    </font>
    <font>
      <b/>
      <sz val="10"/>
      <color theme="3"/>
      <name val="Arial"/>
      <charset val="134"/>
    </font>
    <font>
      <b/>
      <sz val="11"/>
      <color theme="3"/>
      <name val="Arial"/>
      <charset val="134"/>
    </font>
    <font>
      <sz val="10"/>
      <color theme="3"/>
      <name val="Arial"/>
      <charset val="134"/>
    </font>
    <font>
      <sz val="8"/>
      <name val="Arial"/>
      <charset val="134"/>
    </font>
    <font>
      <b/>
      <sz val="8"/>
      <color indexed="61"/>
      <name val="Arial"/>
      <charset val="134"/>
    </font>
    <font>
      <sz val="8"/>
      <name val="Monotype Corsiva"/>
      <charset val="134"/>
    </font>
    <font>
      <b/>
      <sz val="8"/>
      <color indexed="12"/>
      <name val="Arial"/>
      <charset val="134"/>
    </font>
    <font>
      <b/>
      <sz val="8"/>
      <name val="Arial"/>
      <charset val="134"/>
    </font>
    <font>
      <b/>
      <sz val="24"/>
      <color theme="0"/>
      <name val="Calibri"/>
      <charset val="134"/>
      <scheme val="minor"/>
    </font>
    <font>
      <b/>
      <sz val="24"/>
      <color theme="0"/>
      <name val="Arial"/>
      <charset val="134"/>
    </font>
    <font>
      <b/>
      <sz val="9"/>
      <color theme="3" tint="0.39994506668294322"/>
      <name val="Arial"/>
      <charset val="134"/>
    </font>
    <font>
      <b/>
      <sz val="11"/>
      <color theme="0"/>
      <name val="Calibri"/>
      <charset val="134"/>
      <scheme val="minor"/>
    </font>
    <font>
      <b/>
      <sz val="11"/>
      <name val="Calibri"/>
      <charset val="134"/>
      <scheme val="minor"/>
    </font>
    <font>
      <b/>
      <sz val="10"/>
      <name val="Arial"/>
      <charset val="134"/>
    </font>
    <font>
      <b/>
      <sz val="10"/>
      <color theme="0"/>
      <name val="Arial"/>
      <charset val="134"/>
    </font>
    <font>
      <b/>
      <sz val="10"/>
      <color theme="3" tint="0.39994506668294322"/>
      <name val="Arial"/>
      <charset val="134"/>
    </font>
    <font>
      <sz val="10"/>
      <name val="Arial"/>
      <charset val="134"/>
    </font>
    <font>
      <sz val="11"/>
      <color theme="1"/>
      <name val="Calibri"/>
      <charset val="134"/>
      <scheme val="minor"/>
    </font>
    <font>
      <b/>
      <sz val="11"/>
      <color theme="1"/>
      <name val="Calibri"/>
      <charset val="134"/>
      <scheme val="minor"/>
    </font>
    <font>
      <b/>
      <sz val="16"/>
      <color theme="0"/>
      <name val="Calibri"/>
      <charset val="134"/>
      <scheme val="minor"/>
    </font>
    <font>
      <sz val="11"/>
      <color theme="0"/>
      <name val="Calibri"/>
      <charset val="134"/>
      <scheme val="minor"/>
    </font>
    <font>
      <b/>
      <sz val="11"/>
      <name val="Calibri"/>
      <charset val="134"/>
      <scheme val="minor"/>
    </font>
    <font>
      <sz val="11"/>
      <color theme="3"/>
      <name val="Calibri"/>
      <charset val="134"/>
      <scheme val="minor"/>
    </font>
    <font>
      <b/>
      <sz val="11"/>
      <color theme="3"/>
      <name val="Calibri"/>
      <charset val="134"/>
      <scheme val="minor"/>
    </font>
    <font>
      <sz val="12"/>
      <name val="Calibri"/>
      <charset val="134"/>
      <scheme val="minor"/>
    </font>
    <font>
      <b/>
      <sz val="12"/>
      <color rgb="FFFF0000"/>
      <name val="Calibri"/>
      <charset val="134"/>
      <scheme val="minor"/>
    </font>
    <font>
      <sz val="36"/>
      <color theme="1"/>
      <name val="Wingdings"/>
      <charset val="2"/>
    </font>
    <font>
      <b/>
      <sz val="14"/>
      <color theme="0"/>
      <name val="Calibri"/>
      <charset val="134"/>
      <scheme val="minor"/>
    </font>
    <font>
      <b/>
      <sz val="11"/>
      <color theme="0"/>
      <name val="Calibri"/>
      <charset val="134"/>
      <scheme val="minor"/>
    </font>
    <font>
      <i/>
      <sz val="9"/>
      <color theme="1"/>
      <name val="Calibri"/>
      <charset val="134"/>
      <scheme val="minor"/>
    </font>
    <font>
      <b/>
      <sz val="11"/>
      <color rgb="FF000000"/>
      <name val="Calibri"/>
    </font>
    <font>
      <sz val="11"/>
      <color rgb="FF000000"/>
      <name val="Calibri"/>
    </font>
    <font>
      <b/>
      <sz val="11"/>
      <color theme="0"/>
      <name val="Calibri"/>
    </font>
    <font>
      <b/>
      <sz val="14"/>
      <color rgb="FFFF0000"/>
      <name val="Calibri"/>
      <charset val="134"/>
      <scheme val="minor"/>
    </font>
    <font>
      <sz val="14"/>
      <color theme="1"/>
      <name val="Calibri"/>
      <charset val="134"/>
      <scheme val="minor"/>
    </font>
    <font>
      <b/>
      <sz val="11"/>
      <color rgb="FFFF0000"/>
      <name val="Calibri"/>
      <charset val="134"/>
      <scheme val="minor"/>
    </font>
    <font>
      <sz val="11"/>
      <color rgb="FFFF0000"/>
      <name val="Calibri"/>
      <charset val="134"/>
      <scheme val="minor"/>
    </font>
    <font>
      <b/>
      <sz val="24"/>
      <color theme="0"/>
      <name val="Calibri"/>
      <charset val="134"/>
      <scheme val="minor"/>
    </font>
    <font>
      <b/>
      <sz val="16"/>
      <color theme="1"/>
      <name val="Calibri"/>
      <charset val="134"/>
      <scheme val="minor"/>
    </font>
    <font>
      <sz val="24"/>
      <color theme="1"/>
      <name val="Calibri"/>
      <charset val="134"/>
      <scheme val="minor"/>
    </font>
    <font>
      <b/>
      <sz val="12"/>
      <color theme="1"/>
      <name val="Calibri"/>
      <charset val="134"/>
      <scheme val="minor"/>
    </font>
    <font>
      <sz val="16"/>
      <color theme="1"/>
      <name val="Calibri"/>
      <charset val="134"/>
      <scheme val="minor"/>
    </font>
    <font>
      <b/>
      <sz val="20"/>
      <color theme="0"/>
      <name val="Calibri"/>
      <charset val="134"/>
      <scheme val="minor"/>
    </font>
    <font>
      <b/>
      <sz val="14"/>
      <color theme="1"/>
      <name val="Calibri"/>
      <charset val="134"/>
      <scheme val="minor"/>
    </font>
    <font>
      <sz val="14"/>
      <color theme="0"/>
      <name val="Calibri"/>
      <charset val="134"/>
      <scheme val="minor"/>
    </font>
    <font>
      <sz val="10"/>
      <color theme="0"/>
      <name val="Arial"/>
      <charset val="134"/>
    </font>
    <font>
      <b/>
      <sz val="10"/>
      <name val="Arial"/>
      <charset val="134"/>
    </font>
    <font>
      <b/>
      <sz val="10"/>
      <color theme="0"/>
      <name val="Arial"/>
      <charset val="134"/>
    </font>
    <font>
      <b/>
      <sz val="10.5"/>
      <color theme="1"/>
      <name val="Calibri"/>
      <charset val="134"/>
      <scheme val="minor"/>
    </font>
    <font>
      <sz val="9"/>
      <color theme="1"/>
      <name val="Calibri"/>
      <charset val="134"/>
      <scheme val="minor"/>
    </font>
    <font>
      <b/>
      <sz val="10"/>
      <color theme="1"/>
      <name val="Calibri"/>
      <charset val="134"/>
      <scheme val="minor"/>
    </font>
    <font>
      <b/>
      <sz val="11"/>
      <color theme="0"/>
      <name val="Calibri"/>
      <charset val="134"/>
    </font>
    <font>
      <sz val="11"/>
      <color rgb="FF000000"/>
      <name val="Calibri"/>
      <charset val="134"/>
    </font>
    <font>
      <b/>
      <sz val="12"/>
      <color theme="0"/>
      <name val="Calibri"/>
      <charset val="134"/>
    </font>
    <font>
      <sz val="11"/>
      <color theme="1"/>
      <name val="Calibri"/>
      <charset val="134"/>
    </font>
    <font>
      <b/>
      <sz val="16"/>
      <color rgb="FF3276CA"/>
      <name val="Arial"/>
      <charset val="134"/>
    </font>
    <font>
      <b/>
      <sz val="12"/>
      <name val="Calibri"/>
      <charset val="134"/>
      <scheme val="minor"/>
    </font>
    <font>
      <b/>
      <sz val="10"/>
      <color rgb="FFFF0000"/>
      <name val="Arial"/>
      <charset val="134"/>
    </font>
    <font>
      <sz val="9"/>
      <name val="Arial"/>
      <charset val="134"/>
    </font>
    <font>
      <b/>
      <sz val="9"/>
      <name val="Arial"/>
      <charset val="134"/>
    </font>
    <font>
      <b/>
      <sz val="14"/>
      <color rgb="FF3276CA"/>
      <name val="Arial"/>
      <charset val="134"/>
    </font>
    <font>
      <b/>
      <sz val="9"/>
      <name val="Arial"/>
      <charset val="134"/>
    </font>
    <font>
      <b/>
      <sz val="9"/>
      <color theme="0"/>
      <name val="Arial"/>
      <charset val="134"/>
    </font>
    <font>
      <sz val="11"/>
      <name val="Calibri"/>
      <charset val="134"/>
      <scheme val="minor"/>
    </font>
    <font>
      <i/>
      <sz val="11"/>
      <color theme="1"/>
      <name val="Calibri"/>
      <charset val="134"/>
      <scheme val="minor"/>
    </font>
    <font>
      <sz val="11"/>
      <color theme="1"/>
      <name val="Calibri"/>
      <charset val="134"/>
      <scheme val="minor"/>
    </font>
    <font>
      <b/>
      <sz val="16"/>
      <color theme="0"/>
      <name val="Arial"/>
      <charset val="134"/>
    </font>
    <font>
      <b/>
      <sz val="11"/>
      <color rgb="FF000000"/>
      <name val="Calibri"/>
      <charset val="134"/>
    </font>
    <font>
      <b/>
      <sz val="12"/>
      <color rgb="FF000000"/>
      <name val="Calibri"/>
      <charset val="134"/>
      <scheme val="minor"/>
    </font>
    <font>
      <b/>
      <sz val="12"/>
      <color rgb="FF000000"/>
      <name val="Calibri"/>
      <charset val="134"/>
    </font>
    <font>
      <b/>
      <sz val="11"/>
      <color rgb="FFFF0000"/>
      <name val="Calibri"/>
      <charset val="134"/>
    </font>
    <font>
      <i/>
      <sz val="11"/>
      <color rgb="FF002060"/>
      <name val="Calibri"/>
      <charset val="134"/>
    </font>
    <font>
      <b/>
      <i/>
      <sz val="11"/>
      <color rgb="FF002060"/>
      <name val="Calibri"/>
      <charset val="134"/>
    </font>
    <font>
      <sz val="11"/>
      <color rgb="FFFFFFFF"/>
      <name val="Calibri"/>
      <charset val="134"/>
    </font>
    <font>
      <b/>
      <sz val="11"/>
      <name val="Calibri"/>
      <charset val="134"/>
    </font>
    <font>
      <b/>
      <sz val="10.5"/>
      <name val="Calibri"/>
      <charset val="134"/>
    </font>
    <font>
      <b/>
      <sz val="12"/>
      <color rgb="FFFF0000"/>
      <name val="Rupee"/>
      <charset val="134"/>
    </font>
    <font>
      <sz val="11"/>
      <name val="Calibri"/>
      <charset val="134"/>
    </font>
    <font>
      <i/>
      <sz val="11"/>
      <name val="Calibri"/>
      <charset val="134"/>
    </font>
    <font>
      <sz val="11"/>
      <name val="Arial"/>
      <charset val="134"/>
    </font>
    <font>
      <b/>
      <sz val="11"/>
      <color rgb="FFFF0000"/>
      <name val="Arial"/>
      <charset val="134"/>
    </font>
    <font>
      <b/>
      <sz val="11"/>
      <color rgb="FF7030A0"/>
      <name val="Arial"/>
      <charset val="134"/>
    </font>
    <font>
      <b/>
      <sz val="11"/>
      <name val="Arial"/>
      <charset val="134"/>
    </font>
    <font>
      <b/>
      <sz val="11"/>
      <color theme="0"/>
      <name val="Arial"/>
      <charset val="134"/>
    </font>
    <font>
      <sz val="10"/>
      <color rgb="FFFF0000"/>
      <name val="Arial"/>
      <charset val="134"/>
    </font>
    <font>
      <b/>
      <sz val="11"/>
      <color rgb="FF002060"/>
      <name val="Calibri"/>
      <charset val="134"/>
      <scheme val="minor"/>
    </font>
    <font>
      <sz val="10"/>
      <color rgb="FFFF0000"/>
      <name val="Wingdings"/>
      <charset val="2"/>
    </font>
    <font>
      <b/>
      <sz val="11"/>
      <color theme="1"/>
      <name val="Arial"/>
      <charset val="134"/>
    </font>
    <font>
      <sz val="10"/>
      <color theme="1"/>
      <name val="Arial"/>
      <charset val="134"/>
    </font>
    <font>
      <b/>
      <sz val="20"/>
      <color rgb="FFFF0000"/>
      <name val="Arial"/>
      <charset val="134"/>
    </font>
    <font>
      <b/>
      <sz val="16"/>
      <color theme="1"/>
      <name val="Arial"/>
      <charset val="134"/>
    </font>
    <font>
      <b/>
      <sz val="11"/>
      <color rgb="FF000000"/>
      <name val="Calibri"/>
      <charset val="134"/>
      <scheme val="minor"/>
    </font>
    <font>
      <b/>
      <sz val="11"/>
      <color theme="4"/>
      <name val="Calibri"/>
      <charset val="134"/>
      <scheme val="minor"/>
    </font>
    <font>
      <i/>
      <sz val="11"/>
      <color rgb="FFFF0000"/>
      <name val="Calibri"/>
      <charset val="134"/>
    </font>
    <font>
      <b/>
      <sz val="11"/>
      <color rgb="FF000000"/>
      <name val="Calibri"/>
      <charset val="134"/>
    </font>
    <font>
      <i/>
      <sz val="10"/>
      <name val="Calibri"/>
      <charset val="134"/>
    </font>
    <font>
      <sz val="10"/>
      <color theme="1"/>
      <name val="Calibri"/>
      <charset val="134"/>
      <scheme val="minor"/>
    </font>
    <font>
      <sz val="11"/>
      <color theme="1"/>
      <name val="Arial"/>
      <charset val="134"/>
    </font>
    <font>
      <b/>
      <sz val="11"/>
      <color theme="1"/>
      <name val="Calibri"/>
      <charset val="134"/>
      <scheme val="minor"/>
    </font>
    <font>
      <sz val="11"/>
      <color rgb="FFFF0000"/>
      <name val="Arial"/>
      <charset val="134"/>
    </font>
    <font>
      <b/>
      <sz val="11"/>
      <color rgb="FFFF0000"/>
      <name val="Arial"/>
      <charset val="134"/>
    </font>
    <font>
      <b/>
      <sz val="11"/>
      <name val="Arial"/>
      <charset val="134"/>
    </font>
    <font>
      <b/>
      <sz val="11"/>
      <color theme="1"/>
      <name val="Arial"/>
      <charset val="134"/>
    </font>
    <font>
      <sz val="11"/>
      <name val="Arial"/>
      <charset val="134"/>
    </font>
    <font>
      <b/>
      <sz val="18"/>
      <name val="Calibri"/>
      <charset val="134"/>
      <scheme val="minor"/>
    </font>
    <font>
      <b/>
      <sz val="11"/>
      <color theme="0"/>
      <name val="Arial"/>
      <charset val="134"/>
    </font>
    <font>
      <b/>
      <sz val="24"/>
      <name val="Calibri"/>
      <charset val="134"/>
      <scheme val="minor"/>
    </font>
    <font>
      <u/>
      <sz val="11"/>
      <color theme="10"/>
      <name val="Calibri"/>
      <charset val="134"/>
    </font>
    <font>
      <sz val="11"/>
      <color rgb="FF000000"/>
      <name val="Calibri"/>
      <charset val="134"/>
      <scheme val="minor"/>
    </font>
    <font>
      <b/>
      <sz val="9"/>
      <color theme="3" tint="0.39994506668294322"/>
      <name val="Wingdings"/>
      <charset val="2"/>
    </font>
    <font>
      <b/>
      <u/>
      <sz val="16"/>
      <color theme="0"/>
      <name val="Calibri"/>
      <charset val="134"/>
      <scheme val="minor"/>
    </font>
    <font>
      <b/>
      <u/>
      <sz val="16"/>
      <color rgb="FFFF0000"/>
      <name val="Calibri"/>
      <charset val="134"/>
      <scheme val="minor"/>
    </font>
    <font>
      <b/>
      <u/>
      <sz val="12"/>
      <color rgb="FFFF0000"/>
      <name val="Calibri"/>
      <charset val="134"/>
      <scheme val="minor"/>
    </font>
    <font>
      <b/>
      <u/>
      <sz val="11"/>
      <color rgb="FF000000"/>
      <name val="Calibri"/>
      <charset val="134"/>
    </font>
    <font>
      <b/>
      <u/>
      <sz val="11"/>
      <color rgb="FFFF0000"/>
      <name val="Calibri"/>
      <charset val="134"/>
      <scheme val="minor"/>
    </font>
    <font>
      <b/>
      <sz val="11"/>
      <color theme="4"/>
      <name val="Calibri"/>
      <charset val="134"/>
    </font>
    <font>
      <b/>
      <vertAlign val="superscript"/>
      <sz val="11"/>
      <name val="Calibri"/>
      <charset val="134"/>
    </font>
    <font>
      <b/>
      <sz val="12"/>
      <color theme="0"/>
      <name val="Calibri"/>
      <charset val="134"/>
      <scheme val="minor"/>
    </font>
    <font>
      <sz val="9"/>
      <color theme="1"/>
      <name val="Arial"/>
      <charset val="134"/>
    </font>
    <font>
      <b/>
      <sz val="9"/>
      <name val="Tahoma"/>
      <charset val="134"/>
    </font>
  </fonts>
  <fills count="36">
    <fill>
      <patternFill patternType="none"/>
    </fill>
    <fill>
      <patternFill patternType="gray125"/>
    </fill>
    <fill>
      <patternFill patternType="solid">
        <fgColor indexed="9"/>
        <bgColor indexed="64"/>
      </patternFill>
    </fill>
    <fill>
      <patternFill patternType="solid">
        <fgColor theme="2" tint="-9.9978637043366805E-2"/>
        <bgColor indexed="64"/>
      </patternFill>
    </fill>
    <fill>
      <patternFill patternType="solid">
        <fgColor theme="0"/>
        <bgColor indexed="64"/>
      </patternFill>
    </fill>
    <fill>
      <patternFill patternType="solid">
        <fgColor theme="3" tint="0.39994506668294322"/>
        <bgColor indexed="64"/>
      </patternFill>
    </fill>
    <fill>
      <patternFill patternType="solid">
        <fgColor theme="9" tint="0.59999389629810485"/>
        <bgColor indexed="64"/>
      </patternFill>
    </fill>
    <fill>
      <patternFill patternType="solid">
        <fgColor rgb="FFFF0000"/>
        <bgColor indexed="64"/>
      </patternFill>
    </fill>
    <fill>
      <patternFill patternType="solid">
        <fgColor rgb="FF3276CA"/>
        <bgColor indexed="64"/>
      </patternFill>
    </fill>
    <fill>
      <patternFill patternType="solid">
        <fgColor theme="4"/>
        <bgColor indexed="64"/>
      </patternFill>
    </fill>
    <fill>
      <patternFill patternType="solid">
        <fgColor rgb="FFC0504D"/>
        <bgColor indexed="64"/>
      </patternFill>
    </fill>
    <fill>
      <patternFill patternType="solid">
        <fgColor theme="9" tint="0.59999389629810485"/>
        <bgColor indexed="64"/>
      </patternFill>
    </fill>
    <fill>
      <patternFill patternType="solid">
        <fgColor theme="9" tint="0.59999389629810485"/>
        <bgColor rgb="FF000000"/>
      </patternFill>
    </fill>
    <fill>
      <patternFill patternType="solid">
        <fgColor rgb="FFFFFFFF"/>
        <bgColor rgb="FF000000"/>
      </patternFill>
    </fill>
    <fill>
      <patternFill patternType="solid">
        <fgColor theme="5"/>
        <bgColor indexed="64"/>
      </patternFill>
    </fill>
    <fill>
      <patternFill patternType="solid">
        <fgColor rgb="FF0070C0"/>
        <bgColor indexed="64"/>
      </patternFill>
    </fill>
    <fill>
      <patternFill patternType="solid">
        <fgColor rgb="FFC00000"/>
        <bgColor indexed="64"/>
      </patternFill>
    </fill>
    <fill>
      <patternFill patternType="solid">
        <fgColor theme="0" tint="-0.14993743705557422"/>
        <bgColor indexed="64"/>
      </patternFill>
    </fill>
    <fill>
      <patternFill patternType="solid">
        <fgColor rgb="FF92D050"/>
        <bgColor indexed="64"/>
      </patternFill>
    </fill>
    <fill>
      <patternFill patternType="solid">
        <fgColor theme="9" tint="0.79995117038483843"/>
        <bgColor indexed="64"/>
      </patternFill>
    </fill>
    <fill>
      <patternFill patternType="solid">
        <fgColor theme="0" tint="-0.14996795556505021"/>
        <bgColor indexed="64"/>
      </patternFill>
    </fill>
    <fill>
      <patternFill patternType="solid">
        <fgColor theme="9" tint="0.79992065187536243"/>
        <bgColor indexed="64"/>
      </patternFill>
    </fill>
    <fill>
      <patternFill patternType="solid">
        <fgColor theme="9" tint="-0.249977111117893"/>
        <bgColor indexed="64"/>
      </patternFill>
    </fill>
    <fill>
      <patternFill patternType="solid">
        <fgColor theme="0"/>
        <bgColor rgb="FF000000"/>
      </patternFill>
    </fill>
    <fill>
      <patternFill patternType="solid">
        <fgColor theme="9" tint="0.79992065187536243"/>
        <bgColor rgb="FF000000"/>
      </patternFill>
    </fill>
    <fill>
      <patternFill patternType="solid">
        <fgColor theme="1"/>
        <bgColor indexed="64"/>
      </patternFill>
    </fill>
    <fill>
      <patternFill patternType="solid">
        <fgColor rgb="FFFFC000"/>
        <bgColor indexed="64"/>
      </patternFill>
    </fill>
    <fill>
      <patternFill patternType="solid">
        <fgColor theme="8" tint="0.59999389629810485"/>
        <bgColor indexed="64"/>
      </patternFill>
    </fill>
    <fill>
      <patternFill patternType="solid">
        <fgColor rgb="FFFFFF00"/>
        <bgColor indexed="64"/>
      </patternFill>
    </fill>
    <fill>
      <patternFill patternType="solid">
        <fgColor theme="0" tint="-4.9989318521683403E-2"/>
        <bgColor rgb="FF000000"/>
      </patternFill>
    </fill>
    <fill>
      <patternFill patternType="solid">
        <fgColor theme="0" tint="-4.9989318521683403E-2"/>
        <bgColor indexed="64"/>
      </patternFill>
    </fill>
    <fill>
      <patternFill patternType="solid">
        <fgColor theme="9" tint="-0.249977111117893"/>
        <bgColor rgb="FF000000"/>
      </patternFill>
    </fill>
    <fill>
      <patternFill patternType="solid">
        <fgColor theme="2"/>
        <bgColor rgb="FF000000"/>
      </patternFill>
    </fill>
    <fill>
      <patternFill patternType="solid">
        <fgColor theme="2"/>
        <bgColor indexed="64"/>
      </patternFill>
    </fill>
    <fill>
      <patternFill patternType="solid">
        <fgColor theme="0" tint="-0.249977111117893"/>
        <bgColor indexed="64"/>
      </patternFill>
    </fill>
    <fill>
      <patternFill patternType="solid">
        <fgColor theme="6" tint="0.59999389629810485"/>
        <bgColor indexed="64"/>
      </patternFill>
    </fill>
  </fills>
  <borders count="103">
    <border>
      <left/>
      <right/>
      <top/>
      <bottom/>
      <diagonal/>
    </border>
    <border>
      <left/>
      <right style="thin">
        <color auto="1"/>
      </right>
      <top/>
      <bottom/>
      <diagonal/>
    </border>
    <border>
      <left/>
      <right style="thin">
        <color auto="1"/>
      </right>
      <top style="thin">
        <color auto="1"/>
      </top>
      <bottom style="thin">
        <color auto="1"/>
      </bottom>
      <diagonal/>
    </border>
    <border>
      <left/>
      <right style="thin">
        <color auto="1"/>
      </right>
      <top/>
      <bottom style="thin">
        <color auto="1"/>
      </bottom>
      <diagonal/>
    </border>
    <border>
      <left style="thin">
        <color auto="1"/>
      </left>
      <right style="thin">
        <color auto="1"/>
      </right>
      <top style="thin">
        <color auto="1"/>
      </top>
      <bottom/>
      <diagonal/>
    </border>
    <border>
      <left/>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style="thin">
        <color auto="1"/>
      </bottom>
      <diagonal/>
    </border>
    <border>
      <left/>
      <right/>
      <top/>
      <bottom style="thin">
        <color theme="0"/>
      </bottom>
      <diagonal/>
    </border>
    <border>
      <left/>
      <right/>
      <top style="thin">
        <color theme="0"/>
      </top>
      <bottom style="thin">
        <color theme="0"/>
      </bottom>
      <diagonal/>
    </border>
    <border>
      <left/>
      <right/>
      <top style="thin">
        <color theme="0"/>
      </top>
      <bottom style="thin">
        <color auto="1"/>
      </bottom>
      <diagonal/>
    </border>
    <border>
      <left/>
      <right style="thin">
        <color theme="0"/>
      </right>
      <top style="thin">
        <color auto="1"/>
      </top>
      <bottom style="thin">
        <color auto="1"/>
      </bottom>
      <diagonal/>
    </border>
    <border>
      <left style="thin">
        <color auto="1"/>
      </left>
      <right/>
      <top style="thin">
        <color auto="1"/>
      </top>
      <bottom style="thin">
        <color theme="0"/>
      </bottom>
      <diagonal/>
    </border>
    <border>
      <left/>
      <right/>
      <top style="thin">
        <color auto="1"/>
      </top>
      <bottom style="thin">
        <color theme="0"/>
      </bottom>
      <diagonal/>
    </border>
    <border>
      <left/>
      <right style="thin">
        <color auto="1"/>
      </right>
      <top style="thin">
        <color auto="1"/>
      </top>
      <bottom/>
      <diagonal/>
    </border>
    <border>
      <left style="thin">
        <color auto="1"/>
      </left>
      <right style="thin">
        <color theme="0"/>
      </right>
      <top style="thin">
        <color auto="1"/>
      </top>
      <bottom style="thin">
        <color auto="1"/>
      </bottom>
      <diagonal/>
    </border>
    <border>
      <left style="thin">
        <color theme="0"/>
      </left>
      <right style="thin">
        <color theme="0"/>
      </right>
      <top/>
      <bottom style="thin">
        <color auto="1"/>
      </bottom>
      <diagonal/>
    </border>
    <border>
      <left style="thin">
        <color theme="0"/>
      </left>
      <right style="thin">
        <color theme="0"/>
      </right>
      <top style="thin">
        <color auto="1"/>
      </top>
      <bottom style="thin">
        <color auto="1"/>
      </bottom>
      <diagonal/>
    </border>
    <border>
      <left/>
      <right/>
      <top style="thin">
        <color auto="1"/>
      </top>
      <bottom/>
      <diagonal/>
    </border>
    <border>
      <left style="thin">
        <color theme="0"/>
      </left>
      <right style="thin">
        <color auto="1"/>
      </right>
      <top/>
      <bottom/>
      <diagonal/>
    </border>
    <border>
      <left style="thin">
        <color auto="1"/>
      </left>
      <right style="thin">
        <color auto="1"/>
      </right>
      <top/>
      <bottom/>
      <diagonal/>
    </border>
    <border>
      <left style="thin">
        <color auto="1"/>
      </left>
      <right style="thin">
        <color auto="1"/>
      </right>
      <top/>
      <bottom style="thin">
        <color auto="1"/>
      </bottom>
      <diagonal/>
    </border>
    <border>
      <left/>
      <right style="thick">
        <color auto="1"/>
      </right>
      <top style="thin">
        <color auto="1"/>
      </top>
      <bottom style="thin">
        <color auto="1"/>
      </bottom>
      <diagonal/>
    </border>
    <border>
      <left style="thick">
        <color auto="1"/>
      </left>
      <right/>
      <top style="thin">
        <color auto="1"/>
      </top>
      <bottom style="thin">
        <color auto="1"/>
      </bottom>
      <diagonal/>
    </border>
    <border>
      <left style="thin">
        <color auto="1"/>
      </left>
      <right style="thick">
        <color auto="1"/>
      </right>
      <top style="thin">
        <color auto="1"/>
      </top>
      <bottom style="thin">
        <color auto="1"/>
      </bottom>
      <diagonal/>
    </border>
    <border>
      <left style="thick">
        <color auto="1"/>
      </left>
      <right style="thin">
        <color auto="1"/>
      </right>
      <top style="thin">
        <color auto="1"/>
      </top>
      <bottom style="thin">
        <color auto="1"/>
      </bottom>
      <diagonal/>
    </border>
    <border>
      <left style="thick">
        <color auto="1"/>
      </left>
      <right/>
      <top style="thick">
        <color auto="1"/>
      </top>
      <bottom/>
      <diagonal/>
    </border>
    <border>
      <left/>
      <right style="thick">
        <color auto="1"/>
      </right>
      <top style="thick">
        <color auto="1"/>
      </top>
      <bottom/>
      <diagonal/>
    </border>
    <border>
      <left style="medium">
        <color auto="1"/>
      </left>
      <right style="medium">
        <color auto="1"/>
      </right>
      <top style="medium">
        <color auto="1"/>
      </top>
      <bottom style="medium">
        <color auto="1"/>
      </bottom>
      <diagonal/>
    </border>
    <border>
      <left style="medium">
        <color auto="1"/>
      </left>
      <right style="medium">
        <color auto="1"/>
      </right>
      <top style="medium">
        <color theme="0"/>
      </top>
      <bottom style="medium">
        <color auto="1"/>
      </bottom>
      <diagonal/>
    </border>
    <border>
      <left style="medium">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style="medium">
        <color auto="1"/>
      </right>
      <top style="medium">
        <color auto="1"/>
      </top>
      <bottom/>
      <diagonal/>
    </border>
    <border>
      <left style="thin">
        <color auto="1"/>
      </left>
      <right/>
      <top style="thin">
        <color auto="1"/>
      </top>
      <bottom/>
      <diagonal/>
    </border>
    <border>
      <left style="thin">
        <color auto="1"/>
      </left>
      <right/>
      <top/>
      <bottom style="thin">
        <color auto="1"/>
      </bottom>
      <diagonal/>
    </border>
    <border>
      <left/>
      <right/>
      <top/>
      <bottom style="thin">
        <color auto="1"/>
      </bottom>
      <diagonal/>
    </border>
    <border>
      <left style="thin">
        <color theme="0"/>
      </left>
      <right style="thin">
        <color theme="0"/>
      </right>
      <top style="thin">
        <color theme="0"/>
      </top>
      <bottom style="thin">
        <color theme="0"/>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thick">
        <color theme="0"/>
      </left>
      <right style="thick">
        <color theme="0"/>
      </right>
      <top style="thick">
        <color theme="0"/>
      </top>
      <bottom style="thick">
        <color theme="0"/>
      </bottom>
      <diagonal/>
    </border>
    <border>
      <left style="thin">
        <color theme="1"/>
      </left>
      <right style="thin">
        <color theme="1"/>
      </right>
      <top style="thin">
        <color theme="1"/>
      </top>
      <bottom style="thin">
        <color theme="1"/>
      </bottom>
      <diagonal/>
    </border>
    <border>
      <left style="thin">
        <color theme="1"/>
      </left>
      <right/>
      <top style="thin">
        <color auto="1"/>
      </top>
      <bottom style="thin">
        <color theme="1"/>
      </bottom>
      <diagonal/>
    </border>
    <border>
      <left/>
      <right style="thin">
        <color auto="1"/>
      </right>
      <top style="thin">
        <color auto="1"/>
      </top>
      <bottom style="thin">
        <color theme="1"/>
      </bottom>
      <diagonal/>
    </border>
    <border>
      <left style="thin">
        <color theme="1"/>
      </left>
      <right style="thin">
        <color auto="1"/>
      </right>
      <top style="thin">
        <color theme="0"/>
      </top>
      <bottom style="thin">
        <color theme="1"/>
      </bottom>
      <diagonal/>
    </border>
    <border>
      <left style="thin">
        <color theme="1"/>
      </left>
      <right/>
      <top style="thin">
        <color theme="1"/>
      </top>
      <bottom style="thin">
        <color theme="1"/>
      </bottom>
      <diagonal/>
    </border>
    <border>
      <left/>
      <right style="thin">
        <color auto="1"/>
      </right>
      <top style="thin">
        <color theme="1"/>
      </top>
      <bottom style="thin">
        <color theme="1"/>
      </bottom>
      <diagonal/>
    </border>
    <border>
      <left style="thin">
        <color theme="1"/>
      </left>
      <right style="thin">
        <color auto="1"/>
      </right>
      <top/>
      <bottom style="thin">
        <color theme="0"/>
      </bottom>
      <diagonal/>
    </border>
    <border>
      <left style="thin">
        <color theme="1"/>
      </left>
      <right style="thin">
        <color auto="1"/>
      </right>
      <top style="thin">
        <color theme="0"/>
      </top>
      <bottom/>
      <diagonal/>
    </border>
    <border>
      <left style="thin">
        <color auto="1"/>
      </left>
      <right style="thin">
        <color theme="0"/>
      </right>
      <top style="thin">
        <color theme="0"/>
      </top>
      <bottom style="thin">
        <color auto="1"/>
      </bottom>
      <diagonal/>
    </border>
    <border>
      <left style="thin">
        <color auto="1"/>
      </left>
      <right style="thin">
        <color theme="0"/>
      </right>
      <top style="thin">
        <color auto="1"/>
      </top>
      <bottom style="thin">
        <color theme="0"/>
      </bottom>
      <diagonal/>
    </border>
    <border>
      <left style="thin">
        <color theme="0"/>
      </left>
      <right style="thin">
        <color theme="0"/>
      </right>
      <top style="thin">
        <color auto="1"/>
      </top>
      <bottom style="thin">
        <color theme="0"/>
      </bottom>
      <diagonal/>
    </border>
    <border>
      <left style="thin">
        <color theme="0"/>
      </left>
      <right style="thin">
        <color theme="0"/>
      </right>
      <top style="thin">
        <color theme="0"/>
      </top>
      <bottom style="thin">
        <color auto="1"/>
      </bottom>
      <diagonal/>
    </border>
    <border>
      <left style="thin">
        <color theme="0"/>
      </left>
      <right style="thin">
        <color auto="1"/>
      </right>
      <top style="thin">
        <color auto="1"/>
      </top>
      <bottom style="thin">
        <color auto="1"/>
      </bottom>
      <diagonal/>
    </border>
    <border>
      <left style="thin">
        <color theme="0"/>
      </left>
      <right style="thin">
        <color auto="1"/>
      </right>
      <top style="thin">
        <color auto="1"/>
      </top>
      <bottom style="thin">
        <color theme="0"/>
      </bottom>
      <diagonal/>
    </border>
    <border>
      <left style="thin">
        <color theme="0"/>
      </left>
      <right style="thin">
        <color auto="1"/>
      </right>
      <top style="thin">
        <color theme="0"/>
      </top>
      <bottom style="thin">
        <color auto="1"/>
      </bottom>
      <diagonal/>
    </border>
    <border>
      <left style="thin">
        <color auto="1"/>
      </left>
      <right style="thin">
        <color auto="1"/>
      </right>
      <top style="thin">
        <color theme="0"/>
      </top>
      <bottom style="thin">
        <color auto="1"/>
      </bottom>
      <diagonal/>
    </border>
    <border>
      <left style="medium">
        <color rgb="FF000000"/>
      </left>
      <right style="medium">
        <color theme="0"/>
      </right>
      <top style="medium">
        <color rgb="FF000000"/>
      </top>
      <bottom style="medium">
        <color rgb="FF000000"/>
      </bottom>
      <diagonal/>
    </border>
    <border>
      <left style="medium">
        <color theme="0"/>
      </left>
      <right style="medium">
        <color theme="0"/>
      </right>
      <top style="medium">
        <color rgb="FF000000"/>
      </top>
      <bottom style="medium">
        <color rgb="FF000000"/>
      </bottom>
      <diagonal/>
    </border>
    <border>
      <left style="medium">
        <color theme="0"/>
      </left>
      <right style="medium">
        <color rgb="FF000000"/>
      </right>
      <top style="medium">
        <color rgb="FF000000"/>
      </top>
      <bottom style="medium">
        <color rgb="FF000000"/>
      </bottom>
      <diagonal/>
    </border>
    <border>
      <left style="medium">
        <color rgb="FF000000"/>
      </left>
      <right style="medium">
        <color rgb="FF000000"/>
      </right>
      <top style="medium">
        <color rgb="FF000000"/>
      </top>
      <bottom style="medium">
        <color rgb="FF000000"/>
      </bottom>
      <diagonal/>
    </border>
    <border>
      <left/>
      <right/>
      <top style="thick">
        <color auto="1"/>
      </top>
      <bottom/>
      <diagonal/>
    </border>
    <border>
      <left style="thick">
        <color auto="1"/>
      </left>
      <right/>
      <top/>
      <bottom/>
      <diagonal/>
    </border>
    <border>
      <left/>
      <right style="thick">
        <color auto="1"/>
      </right>
      <top/>
      <bottom/>
      <diagonal/>
    </border>
    <border>
      <left style="thick">
        <color auto="1"/>
      </left>
      <right/>
      <top style="thin">
        <color auto="1"/>
      </top>
      <bottom style="thick">
        <color auto="1"/>
      </bottom>
      <diagonal/>
    </border>
    <border>
      <left/>
      <right/>
      <top style="thin">
        <color auto="1"/>
      </top>
      <bottom style="thick">
        <color auto="1"/>
      </bottom>
      <diagonal/>
    </border>
    <border>
      <left/>
      <right style="thin">
        <color auto="1"/>
      </right>
      <top style="thin">
        <color auto="1"/>
      </top>
      <bottom style="thick">
        <color auto="1"/>
      </bottom>
      <diagonal/>
    </border>
    <border>
      <left style="thin">
        <color auto="1"/>
      </left>
      <right style="thick">
        <color auto="1"/>
      </right>
      <top style="thin">
        <color auto="1"/>
      </top>
      <bottom style="thick">
        <color auto="1"/>
      </bottom>
      <diagonal/>
    </border>
    <border>
      <left style="thin">
        <color auto="1"/>
      </left>
      <right/>
      <top style="thin">
        <color theme="0"/>
      </top>
      <bottom style="thin">
        <color theme="0"/>
      </bottom>
      <diagonal/>
    </border>
    <border>
      <left style="thin">
        <color theme="0"/>
      </left>
      <right/>
      <top style="thin">
        <color auto="1"/>
      </top>
      <bottom style="thin">
        <color theme="0"/>
      </bottom>
      <diagonal/>
    </border>
    <border>
      <left style="thin">
        <color auto="1"/>
      </left>
      <right/>
      <top style="thin">
        <color theme="0"/>
      </top>
      <bottom style="thin">
        <color auto="1"/>
      </bottom>
      <diagonal/>
    </border>
    <border>
      <left style="thin">
        <color theme="0"/>
      </left>
      <right/>
      <top style="thin">
        <color theme="0"/>
      </top>
      <bottom style="thin">
        <color auto="1"/>
      </bottom>
      <diagonal/>
    </border>
    <border>
      <left/>
      <right/>
      <top style="thin">
        <color auto="1"/>
      </top>
      <bottom style="medium">
        <color auto="1"/>
      </bottom>
      <diagonal/>
    </border>
    <border>
      <left style="thin">
        <color auto="1"/>
      </left>
      <right style="thin">
        <color auto="1"/>
      </right>
      <top style="thin">
        <color theme="0"/>
      </top>
      <bottom style="thin">
        <color theme="0"/>
      </bottom>
      <diagonal/>
    </border>
    <border>
      <left style="thin">
        <color auto="1"/>
      </left>
      <right style="thin">
        <color auto="1"/>
      </right>
      <top style="thin">
        <color auto="1"/>
      </top>
      <bottom style="thin">
        <color theme="0"/>
      </bottom>
      <diagonal/>
    </border>
    <border>
      <left style="thin">
        <color auto="1"/>
      </left>
      <right/>
      <top/>
      <bottom/>
      <diagonal/>
    </border>
    <border>
      <left/>
      <right/>
      <top/>
      <bottom style="double">
        <color auto="1"/>
      </bottom>
      <diagonal/>
    </border>
    <border>
      <left style="thin">
        <color auto="1"/>
      </left>
      <right style="thin">
        <color theme="0"/>
      </right>
      <top style="thin">
        <color auto="1"/>
      </top>
      <bottom/>
      <diagonal/>
    </border>
    <border>
      <left style="thin">
        <color theme="0"/>
      </left>
      <right style="thin">
        <color theme="0"/>
      </right>
      <top style="thin">
        <color auto="1"/>
      </top>
      <bottom/>
      <diagonal/>
    </border>
    <border>
      <left/>
      <right/>
      <top style="medium">
        <color theme="0"/>
      </top>
      <bottom style="medium">
        <color theme="0"/>
      </bottom>
      <diagonal/>
    </border>
    <border>
      <left/>
      <right style="thin">
        <color auto="1"/>
      </right>
      <top style="thin">
        <color theme="0"/>
      </top>
      <bottom style="thin">
        <color theme="0"/>
      </bottom>
      <diagonal/>
    </border>
    <border>
      <left/>
      <right/>
      <top style="medium">
        <color theme="0"/>
      </top>
      <bottom/>
      <diagonal/>
    </border>
    <border>
      <left/>
      <right style="thin">
        <color auto="1"/>
      </right>
      <top style="thin">
        <color theme="0"/>
      </top>
      <bottom style="thin">
        <color auto="1"/>
      </bottom>
      <diagonal/>
    </border>
    <border>
      <left style="medium">
        <color theme="0"/>
      </left>
      <right/>
      <top style="medium">
        <color theme="0"/>
      </top>
      <bottom style="medium">
        <color theme="0"/>
      </bottom>
      <diagonal/>
    </border>
    <border>
      <left/>
      <right style="medium">
        <color theme="0"/>
      </right>
      <top style="medium">
        <color theme="0"/>
      </top>
      <bottom style="medium">
        <color theme="0"/>
      </bottom>
      <diagonal/>
    </border>
    <border>
      <left style="medium">
        <color theme="0"/>
      </left>
      <right style="medium">
        <color theme="0"/>
      </right>
      <top style="medium">
        <color theme="0"/>
      </top>
      <bottom style="medium">
        <color theme="0"/>
      </bottom>
      <diagonal/>
    </border>
    <border>
      <left style="medium">
        <color theme="0"/>
      </left>
      <right/>
      <top style="medium">
        <color theme="0"/>
      </top>
      <bottom/>
      <diagonal/>
    </border>
    <border>
      <left/>
      <right style="medium">
        <color theme="0"/>
      </right>
      <top style="medium">
        <color theme="0"/>
      </top>
      <bottom/>
      <diagonal/>
    </border>
    <border>
      <left style="medium">
        <color theme="0"/>
      </left>
      <right style="medium">
        <color theme="0"/>
      </right>
      <top style="medium">
        <color theme="0"/>
      </top>
      <bottom/>
      <diagonal/>
    </border>
    <border>
      <left style="medium">
        <color theme="0"/>
      </left>
      <right style="thin">
        <color auto="1"/>
      </right>
      <top style="medium">
        <color theme="0"/>
      </top>
      <bottom style="medium">
        <color theme="0"/>
      </bottom>
      <diagonal/>
    </border>
    <border>
      <left style="medium">
        <color theme="0"/>
      </left>
      <right style="thin">
        <color auto="1"/>
      </right>
      <top style="medium">
        <color theme="0"/>
      </top>
      <bottom style="medium">
        <color auto="1"/>
      </bottom>
      <diagonal/>
    </border>
    <border>
      <left style="thick">
        <color auto="1"/>
      </left>
      <right/>
      <top style="thick">
        <color auto="1"/>
      </top>
      <bottom style="thin">
        <color auto="1"/>
      </bottom>
      <diagonal/>
    </border>
    <border>
      <left/>
      <right style="thick">
        <color auto="1"/>
      </right>
      <top style="thick">
        <color auto="1"/>
      </top>
      <bottom style="thin">
        <color auto="1"/>
      </bottom>
      <diagonal/>
    </border>
    <border>
      <left style="thick">
        <color auto="1"/>
      </left>
      <right style="thin">
        <color auto="1"/>
      </right>
      <top style="thin">
        <color auto="1"/>
      </top>
      <bottom style="thick">
        <color auto="1"/>
      </bottom>
      <diagonal/>
    </border>
    <border>
      <left style="thick">
        <color auto="1"/>
      </left>
      <right style="thin">
        <color theme="0"/>
      </right>
      <top style="thin">
        <color auto="1"/>
      </top>
      <bottom style="thick">
        <color auto="1"/>
      </bottom>
      <diagonal/>
    </border>
    <border>
      <left style="thin">
        <color theme="0"/>
      </left>
      <right style="thick">
        <color auto="1"/>
      </right>
      <top style="thin">
        <color auto="1"/>
      </top>
      <bottom style="thick">
        <color auto="1"/>
      </bottom>
      <diagonal/>
    </border>
  </borders>
  <cellStyleXfs count="24">
    <xf numFmtId="0" fontId="0" fillId="0" borderId="0"/>
    <xf numFmtId="43" fontId="20" fillId="0" borderId="0" applyFont="0" applyFill="0" applyBorder="0" applyAlignment="0" applyProtection="0"/>
    <xf numFmtId="9" fontId="20" fillId="0" borderId="0" applyFont="0" applyFill="0" applyBorder="0" applyAlignment="0" applyProtection="0"/>
    <xf numFmtId="0" fontId="111" fillId="0" borderId="0" applyNumberFormat="0" applyFill="0" applyBorder="0" applyAlignment="0" applyProtection="0">
      <alignment vertical="top"/>
      <protection locked="0"/>
    </xf>
    <xf numFmtId="0" fontId="21" fillId="0" borderId="0"/>
    <xf numFmtId="164" fontId="21" fillId="0" borderId="0" applyFont="0" applyFill="0" applyBorder="0" applyAlignment="0" applyProtection="0"/>
    <xf numFmtId="0" fontId="21" fillId="0" borderId="0"/>
    <xf numFmtId="43" fontId="20" fillId="0" borderId="0" applyFont="0" applyFill="0" applyBorder="0" applyAlignment="0" applyProtection="0"/>
    <xf numFmtId="0" fontId="20" fillId="0" borderId="0"/>
    <xf numFmtId="0" fontId="21" fillId="0" borderId="0"/>
    <xf numFmtId="0" fontId="21" fillId="0" borderId="0"/>
    <xf numFmtId="0" fontId="21" fillId="0" borderId="0"/>
    <xf numFmtId="164" fontId="21" fillId="0" borderId="0" applyFont="0" applyFill="0" applyBorder="0" applyAlignment="0" applyProtection="0"/>
    <xf numFmtId="164" fontId="21" fillId="0" borderId="0" applyFont="0" applyFill="0" applyBorder="0" applyAlignment="0" applyProtection="0"/>
    <xf numFmtId="43" fontId="21" fillId="0" borderId="0" applyFont="0" applyFill="0" applyBorder="0" applyAlignment="0" applyProtection="0"/>
    <xf numFmtId="164" fontId="21" fillId="0" borderId="0" applyFont="0" applyFill="0" applyBorder="0" applyAlignment="0" applyProtection="0"/>
    <xf numFmtId="43" fontId="21" fillId="0" borderId="0" applyFont="0" applyFill="0" applyBorder="0" applyAlignment="0" applyProtection="0"/>
    <xf numFmtId="164" fontId="21" fillId="0" borderId="0" applyFont="0" applyFill="0" applyBorder="0" applyAlignment="0" applyProtection="0"/>
    <xf numFmtId="0" fontId="112" fillId="0" borderId="0"/>
    <xf numFmtId="0" fontId="21" fillId="0" borderId="0"/>
    <xf numFmtId="0" fontId="21" fillId="0" borderId="0"/>
    <xf numFmtId="0" fontId="20" fillId="0" borderId="0"/>
    <xf numFmtId="9" fontId="21" fillId="0" borderId="0" applyFont="0" applyFill="0" applyBorder="0" applyAlignment="0" applyProtection="0"/>
    <xf numFmtId="9" fontId="21" fillId="0" borderId="0" applyFont="0" applyFill="0" applyBorder="0" applyAlignment="0" applyProtection="0"/>
  </cellStyleXfs>
  <cellXfs count="997">
    <xf numFmtId="0" fontId="0" fillId="0" borderId="0" xfId="0"/>
    <xf numFmtId="0" fontId="1" fillId="0" borderId="0" xfId="3" applyFont="1" applyAlignment="1" applyProtection="1">
      <alignment horizontal="center" vertical="center"/>
    </xf>
    <xf numFmtId="0" fontId="0" fillId="2" borderId="0" xfId="0" applyFill="1" applyAlignment="1">
      <alignment vertical="center"/>
    </xf>
    <xf numFmtId="0" fontId="5" fillId="3" borderId="0" xfId="0" applyFont="1" applyFill="1" applyAlignment="1">
      <alignment horizontal="center" vertical="center"/>
    </xf>
    <xf numFmtId="0" fontId="7" fillId="3" borderId="0" xfId="0" applyFont="1" applyFill="1" applyAlignment="1">
      <alignment vertical="center"/>
    </xf>
    <xf numFmtId="0" fontId="8" fillId="3" borderId="0" xfId="0" applyFont="1" applyFill="1" applyAlignment="1">
      <alignment horizontal="left" vertical="center" indent="4"/>
    </xf>
    <xf numFmtId="0" fontId="9" fillId="3" borderId="0" xfId="0" applyFont="1" applyFill="1" applyAlignment="1">
      <alignment horizontal="center" vertical="center"/>
    </xf>
    <xf numFmtId="0" fontId="10" fillId="3" borderId="0" xfId="0" applyFont="1" applyFill="1" applyAlignment="1">
      <alignment vertical="center" wrapText="1"/>
    </xf>
    <xf numFmtId="0" fontId="6" fillId="3" borderId="0" xfId="0" applyFont="1" applyFill="1" applyAlignment="1">
      <alignment vertical="center"/>
    </xf>
    <xf numFmtId="0" fontId="0" fillId="3" borderId="0" xfId="0" applyFill="1" applyAlignment="1">
      <alignment vertical="center"/>
    </xf>
    <xf numFmtId="0" fontId="11" fillId="3" borderId="0" xfId="0" applyFont="1" applyFill="1" applyAlignment="1">
      <alignment vertical="center"/>
    </xf>
    <xf numFmtId="0" fontId="10" fillId="3" borderId="0" xfId="0" applyFont="1" applyFill="1" applyAlignment="1">
      <alignment vertical="center"/>
    </xf>
    <xf numFmtId="0" fontId="0" fillId="3" borderId="0" xfId="0" applyFont="1" applyFill="1" applyAlignment="1">
      <alignment vertical="center"/>
    </xf>
    <xf numFmtId="0" fontId="0" fillId="4" borderId="0" xfId="0" applyFill="1" applyProtection="1">
      <protection hidden="1"/>
    </xf>
    <xf numFmtId="0" fontId="0" fillId="0" borderId="0" xfId="0" applyProtection="1">
      <protection hidden="1"/>
    </xf>
    <xf numFmtId="0" fontId="13" fillId="4" borderId="0" xfId="0" applyFont="1" applyFill="1" applyAlignment="1" applyProtection="1">
      <alignment horizontal="center" vertical="center"/>
      <protection hidden="1"/>
    </xf>
    <xf numFmtId="3" fontId="0" fillId="6" borderId="2" xfId="0" applyNumberFormat="1" applyFill="1" applyBorder="1" applyAlignment="1" applyProtection="1">
      <alignment vertical="center"/>
      <protection locked="0" hidden="1"/>
    </xf>
    <xf numFmtId="0" fontId="15" fillId="5" borderId="0" xfId="0" applyFont="1" applyFill="1" applyAlignment="1" applyProtection="1">
      <alignment vertical="center"/>
      <protection hidden="1"/>
    </xf>
    <xf numFmtId="0" fontId="16" fillId="4" borderId="3" xfId="0" applyFont="1" applyFill="1" applyBorder="1" applyAlignment="1" applyProtection="1">
      <alignment horizontal="center" vertical="center"/>
      <protection hidden="1"/>
    </xf>
    <xf numFmtId="3" fontId="17" fillId="6" borderId="4" xfId="0" applyNumberFormat="1" applyFont="1" applyFill="1" applyBorder="1" applyAlignment="1" applyProtection="1">
      <alignment vertical="center"/>
      <protection locked="0" hidden="1"/>
    </xf>
    <xf numFmtId="0" fontId="16" fillId="0" borderId="5" xfId="0" applyFont="1" applyBorder="1" applyAlignment="1" applyProtection="1">
      <alignment horizontal="center" vertical="center"/>
      <protection hidden="1"/>
    </xf>
    <xf numFmtId="0" fontId="16" fillId="0" borderId="2" xfId="0" applyFont="1" applyBorder="1" applyAlignment="1" applyProtection="1">
      <alignment horizontal="center" vertical="center"/>
      <protection hidden="1"/>
    </xf>
    <xf numFmtId="0" fontId="16" fillId="0" borderId="2" xfId="0" applyFont="1" applyBorder="1" applyAlignment="1" applyProtection="1">
      <alignment horizontal="right" vertical="center"/>
      <protection hidden="1"/>
    </xf>
    <xf numFmtId="0" fontId="16" fillId="0" borderId="6" xfId="0" applyFont="1" applyBorder="1" applyAlignment="1" applyProtection="1">
      <alignment horizontal="center" vertical="center"/>
      <protection hidden="1"/>
    </xf>
    <xf numFmtId="3" fontId="0" fillId="6" borderId="7" xfId="0" applyNumberFormat="1" applyFill="1" applyBorder="1" applyAlignment="1" applyProtection="1">
      <alignment vertical="center"/>
      <protection locked="0" hidden="1"/>
    </xf>
    <xf numFmtId="3" fontId="17" fillId="0" borderId="7" xfId="0" applyNumberFormat="1" applyFont="1" applyBorder="1" applyAlignment="1" applyProtection="1">
      <alignment vertical="center"/>
      <protection hidden="1"/>
    </xf>
    <xf numFmtId="10" fontId="0" fillId="4" borderId="1" xfId="0" applyNumberFormat="1" applyFill="1" applyBorder="1" applyAlignment="1" applyProtection="1">
      <alignment vertical="center"/>
      <protection hidden="1"/>
    </xf>
    <xf numFmtId="9" fontId="18" fillId="5" borderId="0" xfId="0" applyNumberFormat="1" applyFont="1" applyFill="1" applyAlignment="1" applyProtection="1">
      <alignment horizontal="right" vertical="center"/>
      <protection hidden="1"/>
    </xf>
    <xf numFmtId="0" fontId="15" fillId="5" borderId="8" xfId="0" applyFont="1" applyFill="1" applyBorder="1" applyAlignment="1" applyProtection="1">
      <alignment horizontal="center" vertical="center"/>
      <protection hidden="1"/>
    </xf>
    <xf numFmtId="3" fontId="0" fillId="0" borderId="2" xfId="0" applyNumberFormat="1" applyBorder="1" applyAlignment="1" applyProtection="1">
      <alignment vertical="center"/>
      <protection hidden="1"/>
    </xf>
    <xf numFmtId="3" fontId="0" fillId="0" borderId="7" xfId="0" applyNumberFormat="1" applyBorder="1" applyAlignment="1" applyProtection="1">
      <alignment vertical="center"/>
      <protection hidden="1"/>
    </xf>
    <xf numFmtId="0" fontId="15" fillId="5" borderId="9" xfId="0" applyFont="1" applyFill="1" applyBorder="1" applyAlignment="1" applyProtection="1">
      <alignment horizontal="center" vertical="center"/>
      <protection hidden="1"/>
    </xf>
    <xf numFmtId="3" fontId="17" fillId="0" borderId="7" xfId="0" applyNumberFormat="1" applyFont="1" applyBorder="1" applyAlignment="1" applyProtection="1">
      <alignment horizontal="right" vertical="center"/>
      <protection hidden="1"/>
    </xf>
    <xf numFmtId="0" fontId="15" fillId="5" borderId="10" xfId="0" applyFont="1" applyFill="1" applyBorder="1" applyAlignment="1" applyProtection="1">
      <alignment horizontal="center" vertical="center" wrapText="1"/>
      <protection hidden="1"/>
    </xf>
    <xf numFmtId="10" fontId="0" fillId="6" borderId="2" xfId="0" applyNumberFormat="1" applyFill="1" applyBorder="1" applyAlignment="1" applyProtection="1">
      <alignment vertical="center"/>
      <protection locked="0" hidden="1"/>
    </xf>
    <xf numFmtId="10" fontId="0" fillId="6" borderId="7" xfId="0" applyNumberFormat="1" applyFill="1" applyBorder="1" applyAlignment="1" applyProtection="1">
      <alignment vertical="center"/>
      <protection locked="0" hidden="1"/>
    </xf>
    <xf numFmtId="10" fontId="0" fillId="6" borderId="6" xfId="0" applyNumberFormat="1" applyFill="1" applyBorder="1" applyAlignment="1" applyProtection="1">
      <alignment vertical="center"/>
      <protection locked="0" hidden="1"/>
    </xf>
    <xf numFmtId="10" fontId="18" fillId="5" borderId="11" xfId="2" applyNumberFormat="1" applyFont="1" applyFill="1" applyBorder="1" applyAlignment="1" applyProtection="1">
      <alignment vertical="center"/>
      <protection hidden="1"/>
    </xf>
    <xf numFmtId="0" fontId="18" fillId="4" borderId="0" xfId="0" applyFont="1" applyFill="1" applyAlignment="1" applyProtection="1">
      <alignment horizontal="left" vertical="center"/>
      <protection hidden="1"/>
    </xf>
    <xf numFmtId="0" fontId="0" fillId="4" borderId="0" xfId="0" applyFill="1" applyBorder="1" applyProtection="1">
      <protection hidden="1"/>
    </xf>
    <xf numFmtId="0" fontId="0" fillId="0" borderId="0" xfId="0" applyBorder="1" applyProtection="1">
      <protection hidden="1"/>
    </xf>
    <xf numFmtId="3" fontId="19" fillId="0" borderId="14" xfId="0" applyNumberFormat="1" applyFont="1" applyBorder="1" applyAlignment="1" applyProtection="1">
      <alignment horizontal="right" vertical="center" shrinkToFit="1"/>
      <protection hidden="1"/>
    </xf>
    <xf numFmtId="0" fontId="15" fillId="5" borderId="15" xfId="0" applyFont="1" applyFill="1" applyBorder="1" applyAlignment="1" applyProtection="1">
      <alignment horizontal="center" vertical="center"/>
      <protection hidden="1"/>
    </xf>
    <xf numFmtId="0" fontId="15" fillId="5" borderId="16" xfId="0" applyFont="1" applyFill="1" applyBorder="1" applyAlignment="1" applyProtection="1">
      <alignment horizontal="center" vertical="center"/>
      <protection hidden="1"/>
    </xf>
    <xf numFmtId="0" fontId="15" fillId="5" borderId="17" xfId="0" applyFont="1" applyFill="1" applyBorder="1" applyAlignment="1" applyProtection="1">
      <alignment horizontal="center" vertical="center"/>
      <protection hidden="1"/>
    </xf>
    <xf numFmtId="0" fontId="0" fillId="0" borderId="7" xfId="0" applyBorder="1" applyAlignment="1" applyProtection="1">
      <alignment horizontal="center" vertical="center"/>
      <protection hidden="1"/>
    </xf>
    <xf numFmtId="0" fontId="20" fillId="0" borderId="7" xfId="0" applyFont="1" applyBorder="1" applyAlignment="1" applyProtection="1">
      <alignment horizontal="center" vertical="center" shrinkToFit="1"/>
      <protection locked="0" hidden="1"/>
    </xf>
    <xf numFmtId="0" fontId="0" fillId="0" borderId="7" xfId="0" applyBorder="1" applyAlignment="1" applyProtection="1">
      <alignment horizontal="center" vertical="center" shrinkToFit="1"/>
      <protection locked="0" hidden="1"/>
    </xf>
    <xf numFmtId="8" fontId="0" fillId="0" borderId="0" xfId="0" applyNumberFormat="1" applyProtection="1">
      <protection hidden="1"/>
    </xf>
    <xf numFmtId="0" fontId="16" fillId="4" borderId="2" xfId="0" applyFont="1" applyFill="1" applyBorder="1" applyAlignment="1" applyProtection="1">
      <alignment horizontal="center" vertical="center"/>
      <protection hidden="1"/>
    </xf>
    <xf numFmtId="0" fontId="20" fillId="0" borderId="0" xfId="0" applyFont="1" applyProtection="1">
      <protection hidden="1"/>
    </xf>
    <xf numFmtId="10" fontId="18" fillId="5" borderId="2" xfId="2" applyNumberFormat="1" applyFont="1" applyFill="1" applyBorder="1" applyAlignment="1" applyProtection="1">
      <alignment vertical="center"/>
      <protection hidden="1"/>
    </xf>
    <xf numFmtId="0" fontId="15" fillId="5" borderId="19" xfId="0" applyFont="1" applyFill="1" applyBorder="1" applyAlignment="1" applyProtection="1">
      <alignment horizontal="center" vertical="center" wrapText="1"/>
      <protection hidden="1"/>
    </xf>
    <xf numFmtId="3" fontId="20" fillId="0" borderId="6" xfId="0" applyNumberFormat="1" applyFont="1" applyBorder="1" applyAlignment="1" applyProtection="1">
      <alignment horizontal="right" vertical="center" shrinkToFit="1"/>
      <protection locked="0" hidden="1"/>
    </xf>
    <xf numFmtId="3" fontId="0" fillId="0" borderId="7" xfId="0" applyNumberFormat="1" applyBorder="1" applyAlignment="1" applyProtection="1">
      <alignment horizontal="right" vertical="center" shrinkToFit="1"/>
      <protection hidden="1"/>
    </xf>
    <xf numFmtId="3" fontId="20" fillId="0" borderId="7" xfId="0" applyNumberFormat="1" applyFont="1" applyBorder="1" applyAlignment="1" applyProtection="1">
      <alignment horizontal="right" vertical="center" shrinkToFit="1"/>
      <protection locked="0" hidden="1"/>
    </xf>
    <xf numFmtId="9" fontId="0" fillId="0" borderId="0" xfId="0" applyNumberFormat="1" applyProtection="1">
      <protection hidden="1"/>
    </xf>
    <xf numFmtId="9" fontId="0" fillId="6" borderId="1" xfId="0" applyNumberFormat="1" applyFill="1" applyBorder="1" applyAlignment="1" applyProtection="1">
      <alignment vertical="center"/>
      <protection locked="0" hidden="1"/>
    </xf>
    <xf numFmtId="9" fontId="0" fillId="6" borderId="20" xfId="0" applyNumberFormat="1" applyFill="1" applyBorder="1" applyAlignment="1" applyProtection="1">
      <alignment vertical="center"/>
      <protection locked="0" hidden="1"/>
    </xf>
    <xf numFmtId="9" fontId="0" fillId="6" borderId="6" xfId="0" applyNumberFormat="1" applyFill="1" applyBorder="1" applyAlignment="1" applyProtection="1">
      <alignment vertical="center"/>
      <protection locked="0" hidden="1"/>
    </xf>
    <xf numFmtId="9" fontId="0" fillId="6" borderId="21" xfId="0" applyNumberFormat="1" applyFill="1" applyBorder="1" applyAlignment="1" applyProtection="1">
      <alignment vertical="center"/>
      <protection locked="0" hidden="1"/>
    </xf>
    <xf numFmtId="0" fontId="21" fillId="0" borderId="0" xfId="20" applyAlignment="1" applyProtection="1">
      <alignment vertical="center"/>
      <protection hidden="1"/>
    </xf>
    <xf numFmtId="0" fontId="21" fillId="0" borderId="0" xfId="20" applyProtection="1">
      <protection hidden="1"/>
    </xf>
    <xf numFmtId="0" fontId="21" fillId="0" borderId="0" xfId="20" applyAlignment="1" applyProtection="1">
      <alignment horizontal="center"/>
      <protection hidden="1"/>
    </xf>
    <xf numFmtId="0" fontId="22" fillId="0" borderId="0" xfId="20" applyFont="1" applyAlignment="1" applyProtection="1">
      <alignment vertical="center"/>
      <protection hidden="1"/>
    </xf>
    <xf numFmtId="0" fontId="21" fillId="0" borderId="0" xfId="20" applyAlignment="1" applyProtection="1">
      <alignment horizontal="center" vertical="center"/>
      <protection hidden="1"/>
    </xf>
    <xf numFmtId="0" fontId="20" fillId="0" borderId="0" xfId="21" applyProtection="1">
      <protection hidden="1"/>
    </xf>
    <xf numFmtId="0" fontId="23" fillId="5" borderId="0" xfId="20" applyFont="1" applyFill="1" applyAlignment="1" applyProtection="1">
      <alignment horizontal="centerContinuous" vertical="center"/>
      <protection hidden="1"/>
    </xf>
    <xf numFmtId="0" fontId="24" fillId="5" borderId="7" xfId="20" applyFont="1" applyFill="1" applyBorder="1" applyAlignment="1" applyProtection="1">
      <alignment horizontal="centerContinuous" vertical="center"/>
      <protection hidden="1"/>
    </xf>
    <xf numFmtId="165" fontId="25" fillId="4" borderId="0" xfId="5" applyNumberFormat="1" applyFont="1" applyFill="1" applyAlignment="1" applyProtection="1">
      <alignment vertical="center"/>
      <protection hidden="1"/>
    </xf>
    <xf numFmtId="0" fontId="26" fillId="0" borderId="7" xfId="20" applyFont="1" applyBorder="1" applyAlignment="1" applyProtection="1">
      <alignment vertical="center"/>
      <protection hidden="1"/>
    </xf>
    <xf numFmtId="165" fontId="25" fillId="6" borderId="7" xfId="5" applyNumberFormat="1" applyFont="1" applyFill="1" applyBorder="1" applyAlignment="1" applyProtection="1">
      <alignment vertical="center"/>
      <protection locked="0" hidden="1"/>
    </xf>
    <xf numFmtId="0" fontId="26" fillId="0" borderId="6" xfId="20" applyFont="1" applyBorder="1" applyAlignment="1" applyProtection="1">
      <alignment vertical="center"/>
      <protection hidden="1"/>
    </xf>
    <xf numFmtId="9" fontId="25" fillId="4" borderId="0" xfId="5" applyNumberFormat="1" applyFont="1" applyFill="1" applyAlignment="1" applyProtection="1">
      <alignment vertical="center"/>
      <protection hidden="1"/>
    </xf>
    <xf numFmtId="9" fontId="25" fillId="6" borderId="7" xfId="5" applyNumberFormat="1" applyFont="1" applyFill="1" applyBorder="1" applyAlignment="1" applyProtection="1">
      <alignment vertical="center"/>
      <protection locked="0" hidden="1"/>
    </xf>
    <xf numFmtId="0" fontId="27" fillId="0" borderId="7" xfId="20" applyFont="1" applyBorder="1" applyAlignment="1" applyProtection="1">
      <alignment vertical="center"/>
      <protection hidden="1"/>
    </xf>
    <xf numFmtId="6" fontId="27" fillId="0" borderId="7" xfId="20" applyNumberFormat="1" applyFont="1" applyBorder="1" applyAlignment="1" applyProtection="1">
      <alignment horizontal="right" vertical="center"/>
      <protection hidden="1"/>
    </xf>
    <xf numFmtId="0" fontId="21" fillId="4" borderId="0" xfId="20" applyFill="1" applyAlignment="1" applyProtection="1">
      <alignment vertical="center"/>
      <protection hidden="1"/>
    </xf>
    <xf numFmtId="0" fontId="27" fillId="0" borderId="6" xfId="20" applyFont="1" applyBorder="1" applyAlignment="1" applyProtection="1">
      <alignment vertical="center"/>
      <protection hidden="1"/>
    </xf>
    <xf numFmtId="0" fontId="27" fillId="4" borderId="5" xfId="20" applyFont="1" applyFill="1" applyBorder="1" applyAlignment="1" applyProtection="1">
      <alignment horizontal="center" vertical="center"/>
      <protection hidden="1"/>
    </xf>
    <xf numFmtId="0" fontId="27" fillId="0" borderId="2" xfId="20" applyFont="1" applyBorder="1" applyAlignment="1" applyProtection="1">
      <alignment vertical="center"/>
      <protection hidden="1"/>
    </xf>
    <xf numFmtId="0" fontId="26" fillId="0" borderId="6" xfId="20" applyFont="1" applyBorder="1" applyAlignment="1" applyProtection="1">
      <alignment horizontal="left" vertical="center"/>
      <protection hidden="1"/>
    </xf>
    <xf numFmtId="0" fontId="22" fillId="0" borderId="0" xfId="20" applyFont="1" applyAlignment="1" applyProtection="1">
      <alignment horizontal="right" vertical="center"/>
      <protection hidden="1"/>
    </xf>
    <xf numFmtId="0" fontId="21" fillId="6" borderId="5" xfId="20" applyFill="1" applyBorder="1" applyAlignment="1" applyProtection="1">
      <alignment horizontal="center" vertical="center"/>
      <protection locked="0" hidden="1"/>
    </xf>
    <xf numFmtId="0" fontId="26" fillId="0" borderId="2" xfId="20" applyFont="1" applyBorder="1" applyAlignment="1" applyProtection="1">
      <alignment vertical="center"/>
      <protection hidden="1"/>
    </xf>
    <xf numFmtId="0" fontId="27" fillId="0" borderId="7" xfId="20" applyFont="1" applyBorder="1" applyAlignment="1" applyProtection="1">
      <alignment horizontal="left" vertical="center"/>
      <protection hidden="1"/>
    </xf>
    <xf numFmtId="165" fontId="28" fillId="4" borderId="0" xfId="5" applyNumberFormat="1" applyFont="1" applyFill="1" applyAlignment="1" applyProtection="1">
      <alignment vertical="center"/>
      <protection hidden="1"/>
    </xf>
    <xf numFmtId="0" fontId="29" fillId="0" borderId="0" xfId="20" applyFont="1" applyProtection="1">
      <protection hidden="1"/>
    </xf>
    <xf numFmtId="10" fontId="27" fillId="4" borderId="0" xfId="20" applyNumberFormat="1" applyFont="1" applyFill="1" applyAlignment="1" applyProtection="1">
      <alignment vertical="center"/>
      <protection hidden="1"/>
    </xf>
    <xf numFmtId="10" fontId="27" fillId="4" borderId="7" xfId="20" applyNumberFormat="1" applyFont="1" applyFill="1" applyBorder="1" applyAlignment="1" applyProtection="1">
      <alignment horizontal="center" vertical="center"/>
      <protection hidden="1"/>
    </xf>
    <xf numFmtId="9" fontId="22" fillId="6" borderId="7" xfId="20" applyNumberFormat="1" applyFont="1" applyFill="1" applyBorder="1" applyAlignment="1" applyProtection="1">
      <alignment horizontal="center" vertical="center"/>
      <protection locked="0" hidden="1"/>
    </xf>
    <xf numFmtId="0" fontId="27" fillId="0" borderId="7" xfId="20" applyFont="1" applyBorder="1" applyAlignment="1" applyProtection="1">
      <alignment horizontal="center" vertical="center"/>
      <protection hidden="1"/>
    </xf>
    <xf numFmtId="0" fontId="27" fillId="0" borderId="6" xfId="20" applyFont="1" applyBorder="1" applyAlignment="1" applyProtection="1">
      <alignment horizontal="centerContinuous" vertical="center"/>
      <protection hidden="1"/>
    </xf>
    <xf numFmtId="0" fontId="26" fillId="0" borderId="5" xfId="20" applyFont="1" applyBorder="1" applyAlignment="1" applyProtection="1">
      <alignment horizontal="centerContinuous" vertical="center"/>
      <protection hidden="1"/>
    </xf>
    <xf numFmtId="0" fontId="26" fillId="0" borderId="22" xfId="20" applyFont="1" applyBorder="1" applyAlignment="1" applyProtection="1">
      <alignment horizontal="centerContinuous" vertical="center"/>
      <protection hidden="1"/>
    </xf>
    <xf numFmtId="0" fontId="27" fillId="0" borderId="23" xfId="20" applyFont="1" applyBorder="1" applyAlignment="1" applyProtection="1">
      <alignment horizontal="centerContinuous" vertical="center"/>
      <protection hidden="1"/>
    </xf>
    <xf numFmtId="0" fontId="27" fillId="0" borderId="5" xfId="20" applyFont="1" applyBorder="1" applyAlignment="1" applyProtection="1">
      <alignment horizontal="centerContinuous" vertical="center"/>
      <protection hidden="1"/>
    </xf>
    <xf numFmtId="0" fontId="26" fillId="0" borderId="0" xfId="20" applyFont="1" applyAlignment="1" applyProtection="1">
      <alignment vertical="center"/>
      <protection hidden="1"/>
    </xf>
    <xf numFmtId="0" fontId="27" fillId="0" borderId="24" xfId="20" applyFont="1" applyBorder="1" applyAlignment="1" applyProtection="1">
      <alignment horizontal="center" vertical="center"/>
      <protection hidden="1"/>
    </xf>
    <xf numFmtId="0" fontId="27" fillId="0" borderId="25" xfId="20" applyFont="1" applyBorder="1" applyAlignment="1" applyProtection="1">
      <alignment horizontal="center" vertical="center"/>
      <protection hidden="1"/>
    </xf>
    <xf numFmtId="9" fontId="21" fillId="6" borderId="7" xfId="2" applyFont="1" applyFill="1" applyBorder="1" applyAlignment="1" applyProtection="1">
      <alignment horizontal="center" vertical="center"/>
      <protection locked="0" hidden="1"/>
    </xf>
    <xf numFmtId="9" fontId="21" fillId="6" borderId="24" xfId="2" applyFont="1" applyFill="1" applyBorder="1" applyAlignment="1" applyProtection="1">
      <alignment horizontal="center" vertical="center"/>
      <protection locked="0" hidden="1"/>
    </xf>
    <xf numFmtId="9" fontId="21" fillId="6" borderId="25" xfId="2" applyFont="1" applyFill="1" applyBorder="1" applyAlignment="1" applyProtection="1">
      <alignment horizontal="center" vertical="center"/>
      <protection locked="0" hidden="1"/>
    </xf>
    <xf numFmtId="10" fontId="21" fillId="6" borderId="0" xfId="20" applyNumberFormat="1" applyFill="1" applyAlignment="1" applyProtection="1">
      <alignment vertical="center"/>
      <protection hidden="1"/>
    </xf>
    <xf numFmtId="9" fontId="21" fillId="0" borderId="0" xfId="20" applyNumberFormat="1" applyProtection="1">
      <protection hidden="1"/>
    </xf>
    <xf numFmtId="0" fontId="27" fillId="0" borderId="5" xfId="20" applyFont="1" applyBorder="1" applyAlignment="1" applyProtection="1">
      <alignment horizontal="center" vertical="center"/>
      <protection hidden="1"/>
    </xf>
    <xf numFmtId="0" fontId="26" fillId="0" borderId="5" xfId="20" applyFont="1" applyBorder="1" applyAlignment="1" applyProtection="1">
      <alignment horizontal="center" vertical="center"/>
      <protection hidden="1"/>
    </xf>
    <xf numFmtId="0" fontId="26" fillId="0" borderId="7" xfId="20" applyFont="1" applyBorder="1" applyAlignment="1" applyProtection="1">
      <alignment horizontal="center" vertical="center"/>
      <protection hidden="1"/>
    </xf>
    <xf numFmtId="10" fontId="21" fillId="6" borderId="7" xfId="20" applyNumberFormat="1" applyFill="1" applyBorder="1" applyAlignment="1" applyProtection="1">
      <alignment vertical="center"/>
      <protection hidden="1"/>
    </xf>
    <xf numFmtId="8" fontId="21" fillId="6" borderId="7" xfId="20" applyNumberFormat="1" applyFill="1" applyBorder="1" applyAlignment="1" applyProtection="1">
      <alignment vertical="center"/>
      <protection hidden="1"/>
    </xf>
    <xf numFmtId="8" fontId="22" fillId="0" borderId="0" xfId="20" applyNumberFormat="1" applyFont="1" applyAlignment="1" applyProtection="1">
      <alignment vertical="center"/>
      <protection hidden="1"/>
    </xf>
    <xf numFmtId="0" fontId="27" fillId="0" borderId="14" xfId="20" applyFont="1" applyBorder="1" applyAlignment="1" applyProtection="1">
      <alignment horizontal="center" vertical="center"/>
      <protection hidden="1"/>
    </xf>
    <xf numFmtId="0" fontId="27" fillId="0" borderId="21" xfId="20" applyFont="1" applyBorder="1" applyAlignment="1" applyProtection="1">
      <alignment horizontal="center" vertical="center"/>
      <protection hidden="1"/>
    </xf>
    <xf numFmtId="0" fontId="21" fillId="6" borderId="7" xfId="20" applyFill="1" applyBorder="1" applyAlignment="1" applyProtection="1">
      <alignment horizontal="center" vertical="center"/>
      <protection locked="0" hidden="1"/>
    </xf>
    <xf numFmtId="0" fontId="21" fillId="0" borderId="0" xfId="19" applyAlignment="1">
      <alignment vertical="center"/>
    </xf>
    <xf numFmtId="0" fontId="21" fillId="0" borderId="0" xfId="19"/>
    <xf numFmtId="0" fontId="31" fillId="9" borderId="26" xfId="19" applyFont="1" applyFill="1" applyBorder="1" applyAlignment="1">
      <alignment horizontal="centerContinuous" vertical="center"/>
    </xf>
    <xf numFmtId="0" fontId="31" fillId="9" borderId="27" xfId="19" applyFont="1" applyFill="1" applyBorder="1" applyAlignment="1">
      <alignment horizontal="centerContinuous" vertical="center"/>
    </xf>
    <xf numFmtId="0" fontId="21" fillId="0" borderId="28" xfId="19" applyBorder="1" applyAlignment="1">
      <alignment horizontal="left" vertical="center"/>
    </xf>
    <xf numFmtId="10" fontId="21" fillId="6" borderId="28" xfId="19" applyNumberFormat="1" applyFill="1" applyBorder="1" applyAlignment="1" applyProtection="1">
      <alignment horizontal="center" vertical="center"/>
      <protection locked="0"/>
    </xf>
    <xf numFmtId="0" fontId="21" fillId="0" borderId="29" xfId="19" applyBorder="1" applyAlignment="1">
      <alignment vertical="center" wrapText="1"/>
    </xf>
    <xf numFmtId="166" fontId="0" fillId="6" borderId="29" xfId="16" applyNumberFormat="1" applyFont="1" applyFill="1" applyBorder="1" applyAlignment="1" applyProtection="1">
      <alignment vertical="center"/>
      <protection locked="0"/>
    </xf>
    <xf numFmtId="0" fontId="21" fillId="0" borderId="28" xfId="19" applyBorder="1" applyAlignment="1">
      <alignment vertical="center" wrapText="1"/>
    </xf>
    <xf numFmtId="0" fontId="21" fillId="6" borderId="28" xfId="19" applyFill="1" applyBorder="1" applyAlignment="1" applyProtection="1">
      <alignment horizontal="center" vertical="center"/>
      <protection locked="0"/>
    </xf>
    <xf numFmtId="0" fontId="21" fillId="0" borderId="28" xfId="19" applyBorder="1" applyAlignment="1">
      <alignment vertical="center"/>
    </xf>
    <xf numFmtId="3" fontId="32" fillId="10" borderId="28" xfId="19" applyNumberFormat="1" applyFont="1" applyFill="1" applyBorder="1" applyAlignment="1" applyProtection="1">
      <alignment vertical="center"/>
      <protection hidden="1"/>
    </xf>
    <xf numFmtId="166" fontId="0" fillId="6" borderId="28" xfId="16" applyNumberFormat="1" applyFont="1" applyFill="1" applyBorder="1" applyAlignment="1" applyProtection="1">
      <alignment vertical="center"/>
      <protection locked="0"/>
    </xf>
    <xf numFmtId="0" fontId="21" fillId="0" borderId="28" xfId="19" applyBorder="1" applyAlignment="1">
      <alignment wrapText="1"/>
    </xf>
    <xf numFmtId="3" fontId="21" fillId="0" borderId="28" xfId="19" applyNumberFormat="1" applyBorder="1" applyAlignment="1" applyProtection="1">
      <alignment vertical="center"/>
      <protection hidden="1"/>
    </xf>
    <xf numFmtId="3" fontId="21" fillId="4" borderId="28" xfId="19" applyNumberFormat="1" applyFill="1" applyBorder="1" applyAlignment="1" applyProtection="1">
      <alignment vertical="center"/>
      <protection hidden="1"/>
    </xf>
    <xf numFmtId="10" fontId="21" fillId="0" borderId="28" xfId="19" applyNumberFormat="1" applyBorder="1" applyAlignment="1" applyProtection="1">
      <alignment vertical="center"/>
      <protection hidden="1"/>
    </xf>
    <xf numFmtId="0" fontId="21" fillId="0" borderId="34" xfId="19" applyBorder="1" applyAlignment="1">
      <alignment vertical="center"/>
    </xf>
    <xf numFmtId="10" fontId="22" fillId="0" borderId="28" xfId="19" applyNumberFormat="1" applyFont="1" applyBorder="1" applyAlignment="1" applyProtection="1">
      <alignment vertical="center"/>
      <protection hidden="1"/>
    </xf>
    <xf numFmtId="10" fontId="22" fillId="0" borderId="28" xfId="23" applyNumberFormat="1" applyFont="1" applyBorder="1" applyAlignment="1" applyProtection="1">
      <alignment vertical="center"/>
      <protection hidden="1"/>
    </xf>
    <xf numFmtId="0" fontId="34" fillId="0" borderId="7" xfId="0" applyFont="1" applyBorder="1" applyAlignment="1">
      <alignment horizontal="center"/>
    </xf>
    <xf numFmtId="14" fontId="35" fillId="11" borderId="7" xfId="0" applyNumberFormat="1" applyFont="1" applyFill="1" applyBorder="1" applyAlignment="1" applyProtection="1">
      <alignment horizontal="center"/>
      <protection locked="0"/>
    </xf>
    <xf numFmtId="167" fontId="35" fillId="12" borderId="7" xfId="0" applyNumberFormat="1" applyFont="1" applyFill="1" applyBorder="1" applyAlignment="1" applyProtection="1">
      <alignment horizontal="center" shrinkToFit="1"/>
      <protection locked="0"/>
    </xf>
    <xf numFmtId="14" fontId="35" fillId="4" borderId="7" xfId="0" applyNumberFormat="1" applyFont="1" applyFill="1" applyBorder="1" applyAlignment="1" applyProtection="1">
      <alignment horizontal="center"/>
      <protection hidden="1"/>
    </xf>
    <xf numFmtId="167" fontId="35" fillId="11" borderId="2" xfId="0" applyNumberFormat="1" applyFont="1" applyFill="1" applyBorder="1" applyAlignment="1" applyProtection="1">
      <alignment horizontal="center"/>
      <protection locked="0"/>
    </xf>
    <xf numFmtId="168" fontId="35" fillId="11" borderId="2" xfId="0" applyNumberFormat="1" applyFont="1" applyFill="1" applyBorder="1" applyAlignment="1" applyProtection="1">
      <alignment horizontal="center"/>
      <protection locked="0"/>
    </xf>
    <xf numFmtId="0" fontId="34" fillId="0" borderId="7" xfId="0" applyFont="1" applyBorder="1" applyAlignment="1">
      <alignment horizontal="center"/>
    </xf>
    <xf numFmtId="168" fontId="35" fillId="13" borderId="7" xfId="0" applyNumberFormat="1" applyFont="1" applyFill="1" applyBorder="1" applyAlignment="1" applyProtection="1">
      <alignment horizontal="center"/>
      <protection hidden="1"/>
    </xf>
    <xf numFmtId="0" fontId="35" fillId="12" borderId="2" xfId="0" applyFont="1" applyFill="1" applyBorder="1" applyAlignment="1" applyProtection="1">
      <alignment horizontal="center"/>
      <protection locked="0"/>
    </xf>
    <xf numFmtId="169" fontId="35" fillId="0" borderId="7" xfId="0" applyNumberFormat="1" applyFont="1" applyBorder="1" applyAlignment="1" applyProtection="1">
      <alignment horizontal="center"/>
      <protection hidden="1"/>
    </xf>
    <xf numFmtId="170" fontId="35" fillId="0" borderId="2" xfId="0" applyNumberFormat="1" applyFont="1" applyBorder="1" applyAlignment="1" applyProtection="1">
      <alignment horizontal="center"/>
      <protection hidden="1"/>
    </xf>
    <xf numFmtId="0" fontId="36" fillId="14" borderId="38" xfId="0" applyFont="1" applyFill="1" applyBorder="1" applyAlignment="1">
      <alignment horizontal="center"/>
    </xf>
    <xf numFmtId="10" fontId="35" fillId="0" borderId="7" xfId="0" applyNumberFormat="1" applyFont="1" applyFill="1" applyBorder="1" applyAlignment="1" applyProtection="1">
      <alignment horizontal="center"/>
      <protection hidden="1"/>
    </xf>
    <xf numFmtId="170" fontId="36" fillId="14" borderId="38" xfId="0" applyNumberFormat="1" applyFont="1" applyFill="1" applyBorder="1" applyAlignment="1" applyProtection="1">
      <alignment horizontal="center" vertical="center"/>
      <protection hidden="1"/>
    </xf>
    <xf numFmtId="0" fontId="21" fillId="0" borderId="0" xfId="19" applyAlignment="1">
      <alignment horizontal="right"/>
    </xf>
    <xf numFmtId="4" fontId="21" fillId="0" borderId="7" xfId="19" applyNumberFormat="1" applyBorder="1"/>
    <xf numFmtId="4" fontId="0" fillId="0" borderId="7" xfId="23" applyNumberFormat="1" applyFont="1" applyBorder="1"/>
    <xf numFmtId="3" fontId="21" fillId="0" borderId="0" xfId="19" applyNumberFormat="1"/>
    <xf numFmtId="166" fontId="21" fillId="0" borderId="0" xfId="19" applyNumberFormat="1"/>
    <xf numFmtId="8" fontId="21" fillId="0" borderId="0" xfId="19" applyNumberFormat="1"/>
    <xf numFmtId="6" fontId="21" fillId="0" borderId="0" xfId="19" applyNumberFormat="1"/>
    <xf numFmtId="10" fontId="24" fillId="0" borderId="0" xfId="19" applyNumberFormat="1" applyFont="1" applyProtection="1">
      <protection hidden="1"/>
    </xf>
    <xf numFmtId="4" fontId="21" fillId="0" borderId="0" xfId="19" applyNumberFormat="1"/>
    <xf numFmtId="0" fontId="21" fillId="0" borderId="0" xfId="10" applyAlignment="1">
      <alignment vertical="center"/>
    </xf>
    <xf numFmtId="0" fontId="21" fillId="0" borderId="0" xfId="10"/>
    <xf numFmtId="0" fontId="21" fillId="0" borderId="0" xfId="10" applyAlignment="1">
      <alignment horizontal="center"/>
    </xf>
    <xf numFmtId="0" fontId="21" fillId="0" borderId="0" xfId="10" applyAlignment="1">
      <alignment horizontal="center" vertical="center"/>
    </xf>
    <xf numFmtId="0" fontId="22" fillId="4" borderId="35" xfId="10" applyFont="1" applyFill="1" applyBorder="1" applyAlignment="1">
      <alignment horizontal="center" vertical="center"/>
    </xf>
    <xf numFmtId="0" fontId="32" fillId="15" borderId="35" xfId="10" applyFont="1" applyFill="1" applyBorder="1" applyAlignment="1">
      <alignment horizontal="center" vertical="center"/>
    </xf>
    <xf numFmtId="0" fontId="32" fillId="16" borderId="4" xfId="10" applyFont="1" applyFill="1" applyBorder="1" applyAlignment="1">
      <alignment horizontal="center" vertical="center"/>
    </xf>
    <xf numFmtId="0" fontId="22" fillId="4" borderId="36" xfId="10" applyFont="1" applyFill="1" applyBorder="1" applyAlignment="1">
      <alignment horizontal="center" vertical="center"/>
    </xf>
    <xf numFmtId="0" fontId="32" fillId="15" borderId="36" xfId="10" applyFont="1" applyFill="1" applyBorder="1" applyAlignment="1">
      <alignment horizontal="center" vertical="center"/>
    </xf>
    <xf numFmtId="0" fontId="32" fillId="16" borderId="21" xfId="10" applyFont="1" applyFill="1" applyBorder="1" applyAlignment="1">
      <alignment horizontal="center" vertical="center"/>
    </xf>
    <xf numFmtId="0" fontId="25" fillId="4" borderId="0" xfId="10" applyFont="1" applyFill="1" applyAlignment="1">
      <alignment horizontal="right" vertical="center"/>
    </xf>
    <xf numFmtId="0" fontId="21" fillId="0" borderId="7" xfId="10" applyBorder="1" applyAlignment="1">
      <alignment vertical="center"/>
    </xf>
    <xf numFmtId="165" fontId="0" fillId="0" borderId="7" xfId="15" applyNumberFormat="1" applyFont="1" applyBorder="1" applyAlignment="1" applyProtection="1">
      <alignment vertical="center"/>
      <protection hidden="1"/>
    </xf>
    <xf numFmtId="165" fontId="22" fillId="0" borderId="0" xfId="10" applyNumberFormat="1" applyFont="1" applyAlignment="1">
      <alignment vertical="center"/>
    </xf>
    <xf numFmtId="165" fontId="0" fillId="0" borderId="21" xfId="15" applyNumberFormat="1" applyFont="1" applyBorder="1" applyAlignment="1" applyProtection="1">
      <alignment vertical="center"/>
      <protection hidden="1"/>
    </xf>
    <xf numFmtId="0" fontId="25" fillId="4" borderId="7" xfId="10" applyFont="1" applyFill="1" applyBorder="1" applyAlignment="1">
      <alignment horizontal="left" vertical="center"/>
    </xf>
    <xf numFmtId="165" fontId="22" fillId="0" borderId="7" xfId="15" applyNumberFormat="1" applyFont="1" applyBorder="1" applyAlignment="1" applyProtection="1">
      <alignment vertical="center"/>
      <protection hidden="1"/>
    </xf>
    <xf numFmtId="0" fontId="37" fillId="0" borderId="0" xfId="10" applyFont="1" applyAlignment="1">
      <alignment horizontal="center" vertical="center" wrapText="1"/>
    </xf>
    <xf numFmtId="0" fontId="21" fillId="0" borderId="6" xfId="10" applyBorder="1" applyAlignment="1">
      <alignment vertical="center"/>
    </xf>
    <xf numFmtId="0" fontId="21" fillId="0" borderId="2" xfId="10" applyBorder="1" applyAlignment="1">
      <alignment vertical="center"/>
    </xf>
    <xf numFmtId="37" fontId="21" fillId="0" borderId="7" xfId="10" applyNumberFormat="1" applyBorder="1" applyAlignment="1" applyProtection="1">
      <alignment vertical="center"/>
      <protection hidden="1"/>
    </xf>
    <xf numFmtId="0" fontId="22" fillId="0" borderId="7" xfId="10" applyFont="1" applyBorder="1" applyAlignment="1">
      <alignment horizontal="center" vertical="center"/>
    </xf>
    <xf numFmtId="0" fontId="22" fillId="0" borderId="7" xfId="10" applyFont="1" applyBorder="1" applyAlignment="1">
      <alignment vertical="center"/>
    </xf>
    <xf numFmtId="0" fontId="39" fillId="0" borderId="7" xfId="10" applyFont="1" applyBorder="1" applyAlignment="1">
      <alignment vertical="center"/>
    </xf>
    <xf numFmtId="0" fontId="21" fillId="0" borderId="7" xfId="10" applyBorder="1" applyAlignment="1">
      <alignment horizontal="center" vertical="center"/>
    </xf>
    <xf numFmtId="0" fontId="21" fillId="0" borderId="7" xfId="10" applyBorder="1" applyAlignment="1" applyProtection="1">
      <alignment horizontal="center" vertical="center"/>
      <protection hidden="1"/>
    </xf>
    <xf numFmtId="9" fontId="21" fillId="0" borderId="7" xfId="10" applyNumberFormat="1" applyBorder="1" applyAlignment="1" applyProtection="1">
      <alignment vertical="center"/>
      <protection hidden="1"/>
    </xf>
    <xf numFmtId="0" fontId="21" fillId="0" borderId="6" xfId="10" applyBorder="1" applyAlignment="1" applyProtection="1">
      <alignment vertical="center"/>
      <protection hidden="1"/>
    </xf>
    <xf numFmtId="165" fontId="0" fillId="0" borderId="0" xfId="15" applyNumberFormat="1" applyFont="1" applyProtection="1">
      <protection hidden="1"/>
    </xf>
    <xf numFmtId="0" fontId="21" fillId="0" borderId="1" xfId="10" applyBorder="1" applyProtection="1">
      <protection hidden="1"/>
    </xf>
    <xf numFmtId="171" fontId="0" fillId="0" borderId="0" xfId="15" applyNumberFormat="1" applyFont="1" applyProtection="1">
      <protection hidden="1"/>
    </xf>
    <xf numFmtId="0" fontId="21" fillId="0" borderId="1" xfId="10" applyBorder="1"/>
    <xf numFmtId="0" fontId="22" fillId="0" borderId="0" xfId="10" applyFont="1"/>
    <xf numFmtId="0" fontId="22" fillId="0" borderId="0" xfId="10" applyFont="1" applyAlignment="1">
      <alignment horizontal="right"/>
    </xf>
    <xf numFmtId="0" fontId="21" fillId="0" borderId="18" xfId="10" applyBorder="1"/>
    <xf numFmtId="0" fontId="21" fillId="0" borderId="18" xfId="10" applyBorder="1" applyProtection="1">
      <protection hidden="1"/>
    </xf>
    <xf numFmtId="171" fontId="40" fillId="0" borderId="0" xfId="15" applyNumberFormat="1" applyFont="1" applyAlignment="1" applyProtection="1">
      <alignment vertical="center"/>
      <protection hidden="1"/>
    </xf>
    <xf numFmtId="171" fontId="40" fillId="0" borderId="1" xfId="15" applyNumberFormat="1" applyFont="1" applyBorder="1" applyAlignment="1" applyProtection="1">
      <alignment vertical="center"/>
      <protection hidden="1"/>
    </xf>
    <xf numFmtId="0" fontId="45" fillId="0" borderId="6" xfId="10" applyFont="1" applyBorder="1" applyAlignment="1">
      <alignment vertical="center"/>
    </xf>
    <xf numFmtId="165" fontId="42" fillId="17" borderId="47" xfId="15" applyNumberFormat="1" applyFont="1" applyFill="1" applyBorder="1" applyAlignment="1" applyProtection="1">
      <alignment vertical="center"/>
      <protection hidden="1"/>
    </xf>
    <xf numFmtId="0" fontId="45" fillId="0" borderId="0" xfId="10" applyFont="1" applyAlignment="1">
      <alignment vertical="center"/>
    </xf>
    <xf numFmtId="9" fontId="42" fillId="17" borderId="47" xfId="10" applyNumberFormat="1" applyFont="1" applyFill="1" applyBorder="1" applyAlignment="1" applyProtection="1">
      <alignment vertical="center"/>
      <protection hidden="1"/>
    </xf>
    <xf numFmtId="9" fontId="42" fillId="18" borderId="47" xfId="10" applyNumberFormat="1" applyFont="1" applyFill="1" applyBorder="1" applyAlignment="1" applyProtection="1">
      <alignment vertical="center"/>
      <protection locked="0"/>
    </xf>
    <xf numFmtId="165" fontId="42" fillId="18" borderId="47" xfId="15" applyNumberFormat="1" applyFont="1" applyFill="1" applyBorder="1" applyAlignment="1" applyProtection="1">
      <alignment vertical="center"/>
      <protection locked="0"/>
    </xf>
    <xf numFmtId="0" fontId="38" fillId="0" borderId="6" xfId="10" applyFont="1" applyBorder="1" applyAlignment="1">
      <alignment vertical="center"/>
    </xf>
    <xf numFmtId="165" fontId="47" fillId="19" borderId="48" xfId="15" applyNumberFormat="1" applyFont="1" applyFill="1" applyBorder="1" applyAlignment="1" applyProtection="1">
      <alignment vertical="center"/>
      <protection locked="0"/>
    </xf>
    <xf numFmtId="10" fontId="47" fillId="19" borderId="48" xfId="10" applyNumberFormat="1" applyFont="1" applyFill="1" applyBorder="1" applyAlignment="1" applyProtection="1">
      <alignment vertical="center"/>
      <protection locked="0"/>
    </xf>
    <xf numFmtId="0" fontId="38" fillId="0" borderId="0" xfId="10" applyFont="1" applyAlignment="1">
      <alignment vertical="center"/>
    </xf>
    <xf numFmtId="0" fontId="47" fillId="19" borderId="7" xfId="10" applyFont="1" applyFill="1" applyBorder="1" applyAlignment="1" applyProtection="1">
      <alignment horizontal="right" vertical="center"/>
      <protection locked="0"/>
    </xf>
    <xf numFmtId="9" fontId="48" fillId="0" borderId="0" xfId="22" applyFont="1" applyAlignment="1" applyProtection="1">
      <alignment vertical="center"/>
      <protection locked="0"/>
    </xf>
    <xf numFmtId="165" fontId="48" fillId="0" borderId="0" xfId="22" applyNumberFormat="1" applyFont="1" applyBorder="1" applyAlignment="1" applyProtection="1">
      <alignment vertical="center"/>
      <protection locked="0"/>
    </xf>
    <xf numFmtId="0" fontId="21" fillId="0" borderId="0" xfId="19" applyProtection="1">
      <protection hidden="1"/>
    </xf>
    <xf numFmtId="0" fontId="32" fillId="10" borderId="0" xfId="19" applyFont="1" applyFill="1" applyAlignment="1" applyProtection="1">
      <alignment horizontal="centerContinuous"/>
      <protection hidden="1"/>
    </xf>
    <xf numFmtId="0" fontId="22" fillId="4" borderId="49" xfId="19" applyFont="1" applyFill="1" applyBorder="1" applyAlignment="1" applyProtection="1">
      <alignment horizontal="left"/>
      <protection hidden="1"/>
    </xf>
    <xf numFmtId="0" fontId="21" fillId="4" borderId="50" xfId="19" applyFont="1" applyFill="1" applyBorder="1" applyProtection="1">
      <protection hidden="1"/>
    </xf>
    <xf numFmtId="10" fontId="25" fillId="20" borderId="7" xfId="23" applyNumberFormat="1" applyFont="1" applyFill="1" applyBorder="1" applyProtection="1">
      <protection hidden="1"/>
    </xf>
    <xf numFmtId="0" fontId="25" fillId="4" borderId="51" xfId="19" applyFont="1" applyFill="1" applyBorder="1" applyProtection="1">
      <protection hidden="1"/>
    </xf>
    <xf numFmtId="3" fontId="25" fillId="20" borderId="6" xfId="19" applyNumberFormat="1" applyFont="1" applyFill="1" applyBorder="1" applyProtection="1">
      <protection hidden="1"/>
    </xf>
    <xf numFmtId="0" fontId="22" fillId="4" borderId="52" xfId="19" applyFont="1" applyFill="1" applyBorder="1" applyAlignment="1" applyProtection="1">
      <alignment horizontal="left"/>
      <protection hidden="1"/>
    </xf>
    <xf numFmtId="0" fontId="21" fillId="4" borderId="53" xfId="19" applyFont="1" applyFill="1" applyBorder="1" applyProtection="1">
      <protection hidden="1"/>
    </xf>
    <xf numFmtId="10" fontId="25" fillId="20" borderId="7" xfId="19" applyNumberFormat="1" applyFont="1" applyFill="1" applyBorder="1" applyProtection="1">
      <protection hidden="1"/>
    </xf>
    <xf numFmtId="0" fontId="32" fillId="5" borderId="56" xfId="19" applyFont="1" applyFill="1" applyBorder="1" applyAlignment="1" applyProtection="1">
      <alignment horizontal="center" vertical="center"/>
      <protection hidden="1"/>
    </xf>
    <xf numFmtId="0" fontId="32" fillId="5" borderId="17" xfId="19" applyFont="1" applyFill="1" applyBorder="1" applyAlignment="1" applyProtection="1">
      <alignment horizontal="center" vertical="center" wrapText="1"/>
      <protection hidden="1"/>
    </xf>
    <xf numFmtId="0" fontId="32" fillId="5" borderId="16" xfId="19" applyFont="1" applyFill="1" applyBorder="1" applyAlignment="1" applyProtection="1">
      <alignment horizontal="center" vertical="center"/>
      <protection hidden="1"/>
    </xf>
    <xf numFmtId="0" fontId="32" fillId="5" borderId="16" xfId="19" applyFont="1" applyFill="1" applyBorder="1" applyAlignment="1" applyProtection="1">
      <alignment horizontal="center" vertical="center" wrapText="1"/>
      <protection hidden="1"/>
    </xf>
    <xf numFmtId="0" fontId="32" fillId="5" borderId="17" xfId="19" applyFont="1" applyFill="1" applyBorder="1" applyAlignment="1" applyProtection="1">
      <alignment horizontal="center" vertical="center"/>
      <protection hidden="1"/>
    </xf>
    <xf numFmtId="0" fontId="21" fillId="0" borderId="7" xfId="19" applyBorder="1" applyAlignment="1" applyProtection="1">
      <alignment horizontal="center" vertical="center"/>
      <protection hidden="1"/>
    </xf>
    <xf numFmtId="165" fontId="24" fillId="0" borderId="7" xfId="19" applyNumberFormat="1" applyFont="1" applyBorder="1" applyProtection="1">
      <protection hidden="1"/>
    </xf>
    <xf numFmtId="0" fontId="22" fillId="0" borderId="7" xfId="19" applyFont="1" applyBorder="1" applyAlignment="1" applyProtection="1">
      <alignment horizontal="center" vertical="center"/>
      <protection hidden="1"/>
    </xf>
    <xf numFmtId="0" fontId="22" fillId="0" borderId="7" xfId="19" applyFont="1" applyBorder="1" applyAlignment="1" applyProtection="1">
      <alignment horizontal="center" vertical="center" wrapText="1"/>
      <protection hidden="1"/>
    </xf>
    <xf numFmtId="164" fontId="21" fillId="0" borderId="7" xfId="19" applyNumberFormat="1" applyBorder="1" applyProtection="1">
      <protection hidden="1"/>
    </xf>
    <xf numFmtId="0" fontId="21" fillId="0" borderId="7" xfId="19" applyBorder="1" applyAlignment="1" applyProtection="1">
      <alignment horizontal="center"/>
      <protection hidden="1"/>
    </xf>
    <xf numFmtId="165" fontId="21" fillId="0" borderId="7" xfId="19" applyNumberFormat="1" applyBorder="1" applyProtection="1">
      <protection hidden="1"/>
    </xf>
    <xf numFmtId="164" fontId="0" fillId="0" borderId="7" xfId="17" applyFont="1" applyBorder="1" applyProtection="1">
      <protection hidden="1"/>
    </xf>
    <xf numFmtId="164" fontId="21" fillId="0" borderId="2" xfId="19" applyNumberFormat="1" applyBorder="1" applyProtection="1">
      <protection hidden="1"/>
    </xf>
    <xf numFmtId="164" fontId="21" fillId="0" borderId="14" xfId="19" applyNumberFormat="1" applyBorder="1" applyProtection="1">
      <protection hidden="1"/>
    </xf>
    <xf numFmtId="164" fontId="0" fillId="0" borderId="4" xfId="17" applyFont="1" applyBorder="1" applyProtection="1">
      <protection hidden="1"/>
    </xf>
    <xf numFmtId="0" fontId="32" fillId="10" borderId="57" xfId="19" applyFont="1" applyFill="1" applyBorder="1" applyProtection="1">
      <protection hidden="1"/>
    </xf>
    <xf numFmtId="165" fontId="32" fillId="10" borderId="58" xfId="19" applyNumberFormat="1" applyFont="1" applyFill="1" applyBorder="1" applyProtection="1">
      <protection hidden="1"/>
    </xf>
    <xf numFmtId="165" fontId="32" fillId="10" borderId="18" xfId="19" applyNumberFormat="1" applyFont="1" applyFill="1" applyBorder="1" applyProtection="1">
      <protection hidden="1"/>
    </xf>
    <xf numFmtId="164" fontId="49" fillId="10" borderId="18" xfId="17" applyFont="1" applyFill="1" applyBorder="1" applyProtection="1">
      <protection hidden="1"/>
    </xf>
    <xf numFmtId="0" fontId="24" fillId="10" borderId="18" xfId="19" applyFont="1" applyFill="1" applyBorder="1" applyProtection="1">
      <protection hidden="1"/>
    </xf>
    <xf numFmtId="0" fontId="32" fillId="10" borderId="56" xfId="19" applyFont="1" applyFill="1" applyBorder="1" applyProtection="1">
      <protection hidden="1"/>
    </xf>
    <xf numFmtId="165" fontId="32" fillId="10" borderId="59" xfId="19" applyNumberFormat="1" applyFont="1" applyFill="1" applyBorder="1" applyProtection="1">
      <protection hidden="1"/>
    </xf>
    <xf numFmtId="0" fontId="24" fillId="10" borderId="0" xfId="19" applyFont="1" applyFill="1" applyProtection="1">
      <protection hidden="1"/>
    </xf>
    <xf numFmtId="43" fontId="21" fillId="0" borderId="7" xfId="19" applyNumberFormat="1" applyBorder="1" applyProtection="1">
      <protection hidden="1"/>
    </xf>
    <xf numFmtId="0" fontId="21" fillId="0" borderId="0" xfId="19" applyAlignment="1" applyProtection="1">
      <alignment horizontal="center" vertical="center"/>
      <protection hidden="1"/>
    </xf>
    <xf numFmtId="0" fontId="22" fillId="4" borderId="6" xfId="19" applyFont="1" applyFill="1" applyBorder="1" applyProtection="1">
      <protection hidden="1"/>
    </xf>
    <xf numFmtId="0" fontId="22" fillId="4" borderId="2" xfId="19" applyFont="1" applyFill="1" applyBorder="1" applyProtection="1">
      <protection hidden="1"/>
    </xf>
    <xf numFmtId="10" fontId="50" fillId="20" borderId="7" xfId="0" applyNumberFormat="1" applyFont="1" applyFill="1" applyBorder="1" applyProtection="1">
      <protection hidden="1"/>
    </xf>
    <xf numFmtId="0" fontId="24" fillId="0" borderId="0" xfId="19" applyFont="1" applyProtection="1">
      <protection hidden="1"/>
    </xf>
    <xf numFmtId="0" fontId="32" fillId="5" borderId="60" xfId="19" applyFont="1" applyFill="1" applyBorder="1" applyAlignment="1" applyProtection="1">
      <alignment horizontal="center" vertical="center"/>
      <protection hidden="1"/>
    </xf>
    <xf numFmtId="0" fontId="22" fillId="0" borderId="1" xfId="19" applyFont="1" applyBorder="1" applyAlignment="1" applyProtection="1">
      <alignment horizontal="center" vertical="center"/>
      <protection hidden="1"/>
    </xf>
    <xf numFmtId="0" fontId="32" fillId="5" borderId="15" xfId="19" applyFont="1" applyFill="1" applyBorder="1" applyAlignment="1" applyProtection="1">
      <alignment horizontal="center" vertical="center"/>
      <protection hidden="1"/>
    </xf>
    <xf numFmtId="0" fontId="22" fillId="0" borderId="0" xfId="19" applyFont="1" applyAlignment="1" applyProtection="1">
      <alignment horizontal="center" vertical="center"/>
      <protection hidden="1"/>
    </xf>
    <xf numFmtId="0" fontId="21" fillId="0" borderId="7" xfId="19" applyBorder="1" applyProtection="1">
      <protection hidden="1"/>
    </xf>
    <xf numFmtId="165" fontId="21" fillId="0" borderId="0" xfId="19" applyNumberFormat="1" applyProtection="1">
      <protection hidden="1"/>
    </xf>
    <xf numFmtId="165" fontId="21" fillId="0" borderId="4" xfId="19" applyNumberFormat="1" applyBorder="1" applyProtection="1">
      <protection hidden="1"/>
    </xf>
    <xf numFmtId="164" fontId="32" fillId="10" borderId="58" xfId="19" applyNumberFormat="1" applyFont="1" applyFill="1" applyBorder="1" applyProtection="1">
      <protection hidden="1"/>
    </xf>
    <xf numFmtId="164" fontId="32" fillId="10" borderId="14" xfId="19" applyNumberFormat="1" applyFont="1" applyFill="1" applyBorder="1" applyProtection="1">
      <protection hidden="1"/>
    </xf>
    <xf numFmtId="164" fontId="22" fillId="4" borderId="0" xfId="19" applyNumberFormat="1" applyFont="1" applyFill="1" applyProtection="1">
      <protection hidden="1"/>
    </xf>
    <xf numFmtId="164" fontId="51" fillId="10" borderId="58" xfId="17" applyFont="1" applyFill="1" applyBorder="1" applyProtection="1">
      <protection hidden="1"/>
    </xf>
    <xf numFmtId="164" fontId="32" fillId="10" borderId="61" xfId="19" applyNumberFormat="1" applyFont="1" applyFill="1" applyBorder="1" applyProtection="1">
      <protection hidden="1"/>
    </xf>
    <xf numFmtId="10" fontId="32" fillId="10" borderId="59" xfId="23" applyNumberFormat="1" applyFont="1" applyFill="1" applyBorder="1" applyProtection="1">
      <protection hidden="1"/>
    </xf>
    <xf numFmtId="10" fontId="49" fillId="10" borderId="3" xfId="23" applyNumberFormat="1" applyFont="1" applyFill="1" applyBorder="1" applyProtection="1">
      <protection hidden="1"/>
    </xf>
    <xf numFmtId="10" fontId="0" fillId="4" borderId="0" xfId="23" applyNumberFormat="1" applyFont="1" applyFill="1" applyProtection="1">
      <protection hidden="1"/>
    </xf>
    <xf numFmtId="10" fontId="32" fillId="10" borderId="59" xfId="2" applyNumberFormat="1" applyFont="1" applyFill="1" applyBorder="1" applyProtection="1">
      <protection hidden="1"/>
    </xf>
    <xf numFmtId="10" fontId="32" fillId="10" borderId="62" xfId="23" applyNumberFormat="1" applyFont="1" applyFill="1" applyBorder="1" applyProtection="1">
      <protection hidden="1"/>
    </xf>
    <xf numFmtId="169" fontId="21" fillId="0" borderId="0" xfId="2" applyNumberFormat="1" applyFont="1" applyProtection="1">
      <protection hidden="1"/>
    </xf>
    <xf numFmtId="43" fontId="21" fillId="0" borderId="0" xfId="19" applyNumberFormat="1" applyProtection="1">
      <protection hidden="1"/>
    </xf>
    <xf numFmtId="0" fontId="21" fillId="0" borderId="0" xfId="10" applyAlignment="1" applyProtection="1">
      <alignment vertical="center"/>
      <protection hidden="1"/>
    </xf>
    <xf numFmtId="0" fontId="21" fillId="0" borderId="0" xfId="10" applyProtection="1">
      <protection hidden="1"/>
    </xf>
    <xf numFmtId="0" fontId="22" fillId="0" borderId="0" xfId="10" applyFont="1" applyAlignment="1" applyProtection="1">
      <alignment vertical="center"/>
      <protection hidden="1"/>
    </xf>
    <xf numFmtId="0" fontId="22" fillId="0" borderId="7" xfId="10" applyFont="1" applyBorder="1" applyAlignment="1" applyProtection="1">
      <alignment vertical="center"/>
      <protection hidden="1"/>
    </xf>
    <xf numFmtId="3" fontId="22" fillId="6" borderId="7" xfId="10" applyNumberFormat="1" applyFont="1" applyFill="1" applyBorder="1" applyAlignment="1" applyProtection="1">
      <alignment vertical="center"/>
      <protection locked="0"/>
    </xf>
    <xf numFmtId="10" fontId="25" fillId="6" borderId="63" xfId="19" applyNumberFormat="1" applyFont="1" applyFill="1" applyBorder="1" applyAlignment="1" applyProtection="1">
      <alignment vertical="center"/>
      <protection locked="0"/>
    </xf>
    <xf numFmtId="0" fontId="22" fillId="0" borderId="6" xfId="10" applyFont="1" applyBorder="1" applyAlignment="1" applyProtection="1">
      <alignment vertical="center"/>
      <protection hidden="1"/>
    </xf>
    <xf numFmtId="0" fontId="21" fillId="0" borderId="5" xfId="10" applyBorder="1" applyAlignment="1" applyProtection="1">
      <alignment vertical="center"/>
      <protection hidden="1"/>
    </xf>
    <xf numFmtId="10" fontId="22" fillId="6" borderId="7" xfId="10" applyNumberFormat="1" applyFont="1" applyFill="1" applyBorder="1" applyAlignment="1" applyProtection="1">
      <alignment vertical="center"/>
      <protection locked="0"/>
    </xf>
    <xf numFmtId="0" fontId="22" fillId="0" borderId="36" xfId="10" applyFont="1" applyBorder="1" applyAlignment="1" applyProtection="1">
      <alignment vertical="center"/>
      <protection hidden="1"/>
    </xf>
    <xf numFmtId="0" fontId="21" fillId="0" borderId="37" xfId="10" applyBorder="1" applyAlignment="1" applyProtection="1">
      <alignment vertical="center"/>
      <protection hidden="1"/>
    </xf>
    <xf numFmtId="0" fontId="39" fillId="0" borderId="0" xfId="10" applyFont="1" applyAlignment="1" applyProtection="1">
      <alignment vertical="center"/>
      <protection hidden="1"/>
    </xf>
    <xf numFmtId="0" fontId="32" fillId="5" borderId="15" xfId="10" applyFont="1" applyFill="1" applyBorder="1" applyAlignment="1" applyProtection="1">
      <alignment horizontal="center" vertical="center"/>
      <protection hidden="1"/>
    </xf>
    <xf numFmtId="0" fontId="32" fillId="5" borderId="17" xfId="10" applyFont="1" applyFill="1" applyBorder="1" applyAlignment="1" applyProtection="1">
      <alignment horizontal="center" vertical="center"/>
      <protection hidden="1"/>
    </xf>
    <xf numFmtId="0" fontId="32" fillId="5" borderId="17" xfId="10" applyFont="1" applyFill="1" applyBorder="1" applyAlignment="1" applyProtection="1">
      <alignment horizontal="center" vertical="center" wrapText="1"/>
      <protection hidden="1"/>
    </xf>
    <xf numFmtId="0" fontId="32" fillId="5" borderId="60" xfId="10" applyFont="1" applyFill="1" applyBorder="1" applyAlignment="1" applyProtection="1">
      <alignment horizontal="center" vertical="center" wrapText="1"/>
      <protection hidden="1"/>
    </xf>
    <xf numFmtId="166" fontId="21" fillId="4" borderId="7" xfId="1" applyNumberFormat="1" applyFont="1" applyFill="1" applyBorder="1" applyAlignment="1" applyProtection="1">
      <alignment vertical="center"/>
      <protection hidden="1"/>
    </xf>
    <xf numFmtId="166" fontId="0" fillId="0" borderId="7" xfId="1" applyNumberFormat="1" applyFont="1" applyBorder="1" applyAlignment="1" applyProtection="1">
      <alignment vertical="center"/>
      <protection hidden="1"/>
    </xf>
    <xf numFmtId="0" fontId="21" fillId="0" borderId="7" xfId="10" applyBorder="1" applyAlignment="1" applyProtection="1">
      <alignment vertical="center"/>
      <protection hidden="1"/>
    </xf>
    <xf numFmtId="165" fontId="21" fillId="0" borderId="7" xfId="10" applyNumberFormat="1" applyBorder="1" applyAlignment="1" applyProtection="1">
      <alignment vertical="center"/>
      <protection hidden="1"/>
    </xf>
    <xf numFmtId="10" fontId="21" fillId="0" borderId="7" xfId="10" applyNumberFormat="1" applyBorder="1" applyAlignment="1" applyProtection="1">
      <alignment vertical="center"/>
      <protection hidden="1"/>
    </xf>
    <xf numFmtId="166" fontId="21" fillId="0" borderId="7" xfId="1" applyNumberFormat="1" applyFont="1" applyBorder="1" applyAlignment="1" applyProtection="1">
      <alignment vertical="center"/>
      <protection hidden="1"/>
    </xf>
    <xf numFmtId="0" fontId="32" fillId="10" borderId="15" xfId="10" applyFont="1" applyFill="1" applyBorder="1" applyAlignment="1" applyProtection="1">
      <alignment horizontal="center" vertical="center"/>
      <protection hidden="1"/>
    </xf>
    <xf numFmtId="3" fontId="32" fillId="14" borderId="17" xfId="10" applyNumberFormat="1" applyFont="1" applyFill="1" applyBorder="1" applyAlignment="1" applyProtection="1">
      <alignment vertical="center"/>
      <protection hidden="1"/>
    </xf>
    <xf numFmtId="0" fontId="24" fillId="14" borderId="17" xfId="10" applyFont="1" applyFill="1" applyBorder="1" applyAlignment="1" applyProtection="1">
      <alignment vertical="center"/>
      <protection hidden="1"/>
    </xf>
    <xf numFmtId="165" fontId="32" fillId="14" borderId="17" xfId="10" applyNumberFormat="1" applyFont="1" applyFill="1" applyBorder="1" applyAlignment="1" applyProtection="1">
      <alignment vertical="center"/>
      <protection hidden="1"/>
    </xf>
    <xf numFmtId="10" fontId="32" fillId="14" borderId="60" xfId="22" applyNumberFormat="1" applyFont="1" applyFill="1" applyBorder="1" applyAlignment="1" applyProtection="1">
      <alignment vertical="center"/>
      <protection hidden="1"/>
    </xf>
    <xf numFmtId="0" fontId="40" fillId="0" borderId="0" xfId="10" applyFont="1" applyAlignment="1" applyProtection="1">
      <alignment vertical="center"/>
      <protection hidden="1"/>
    </xf>
    <xf numFmtId="0" fontId="39" fillId="0" borderId="6" xfId="10" applyFont="1" applyBorder="1" applyProtection="1">
      <protection hidden="1"/>
    </xf>
    <xf numFmtId="0" fontId="21" fillId="0" borderId="5" xfId="10" applyBorder="1" applyProtection="1">
      <protection hidden="1"/>
    </xf>
    <xf numFmtId="166" fontId="39" fillId="0" borderId="5" xfId="1" applyNumberFormat="1" applyFont="1" applyBorder="1" applyProtection="1">
      <protection hidden="1"/>
    </xf>
    <xf numFmtId="0" fontId="21" fillId="0" borderId="2" xfId="10" applyBorder="1" applyProtection="1">
      <protection hidden="1"/>
    </xf>
    <xf numFmtId="0" fontId="21" fillId="6" borderId="7" xfId="10" applyFill="1" applyBorder="1" applyAlignment="1" applyProtection="1">
      <alignment vertical="center"/>
      <protection locked="0" hidden="1"/>
    </xf>
    <xf numFmtId="10" fontId="52" fillId="0" borderId="7" xfId="2" applyNumberFormat="1" applyFont="1" applyBorder="1" applyAlignment="1" applyProtection="1">
      <alignment horizontal="center" vertical="center"/>
      <protection hidden="1"/>
    </xf>
    <xf numFmtId="10" fontId="32" fillId="4" borderId="0" xfId="19" applyNumberFormat="1" applyFont="1" applyFill="1" applyBorder="1" applyAlignment="1" applyProtection="1">
      <alignment horizontal="center" vertical="center"/>
      <protection locked="0" hidden="1"/>
    </xf>
    <xf numFmtId="10" fontId="25" fillId="6" borderId="7" xfId="19" applyNumberFormat="1" applyFont="1" applyFill="1" applyBorder="1" applyAlignment="1" applyProtection="1">
      <alignment vertical="center"/>
      <protection locked="0"/>
    </xf>
    <xf numFmtId="10" fontId="0" fillId="4" borderId="7" xfId="22" applyNumberFormat="1" applyFont="1" applyFill="1" applyBorder="1" applyAlignment="1" applyProtection="1">
      <alignment vertical="center"/>
      <protection hidden="1"/>
    </xf>
    <xf numFmtId="10" fontId="21" fillId="0" borderId="0" xfId="2" applyNumberFormat="1" applyFont="1" applyProtection="1">
      <protection hidden="1"/>
    </xf>
    <xf numFmtId="0" fontId="22" fillId="4" borderId="7" xfId="19" applyFont="1" applyFill="1" applyBorder="1" applyAlignment="1" applyProtection="1">
      <alignment horizontal="left"/>
      <protection hidden="1"/>
    </xf>
    <xf numFmtId="0" fontId="21" fillId="4" borderId="2" xfId="19" applyFill="1" applyBorder="1" applyProtection="1">
      <protection hidden="1"/>
    </xf>
    <xf numFmtId="0" fontId="22" fillId="4" borderId="7" xfId="19" applyFont="1" applyFill="1" applyBorder="1" applyProtection="1">
      <protection hidden="1"/>
    </xf>
    <xf numFmtId="3" fontId="25" fillId="20" borderId="7" xfId="19" applyNumberFormat="1" applyFont="1" applyFill="1" applyBorder="1" applyProtection="1">
      <protection hidden="1"/>
    </xf>
    <xf numFmtId="0" fontId="22" fillId="4" borderId="6" xfId="19" applyFont="1" applyFill="1" applyBorder="1" applyAlignment="1" applyProtection="1">
      <alignment horizontal="left"/>
      <protection hidden="1"/>
    </xf>
    <xf numFmtId="0" fontId="22" fillId="0" borderId="0" xfId="19" applyFont="1" applyProtection="1">
      <protection hidden="1"/>
    </xf>
    <xf numFmtId="0" fontId="21" fillId="4" borderId="7" xfId="19" applyFill="1" applyBorder="1" applyProtection="1">
      <protection hidden="1"/>
    </xf>
    <xf numFmtId="0" fontId="21" fillId="0" borderId="7" xfId="19" applyFont="1" applyBorder="1" applyProtection="1">
      <protection hidden="1"/>
    </xf>
    <xf numFmtId="10" fontId="21" fillId="20" borderId="7" xfId="2" applyNumberFormat="1" applyFont="1" applyFill="1" applyBorder="1" applyAlignment="1" applyProtection="1">
      <alignment horizontal="center"/>
      <protection hidden="1"/>
    </xf>
    <xf numFmtId="43" fontId="21" fillId="4" borderId="7" xfId="19" applyNumberFormat="1" applyFill="1" applyBorder="1" applyProtection="1">
      <protection hidden="1"/>
    </xf>
    <xf numFmtId="0" fontId="39" fillId="0" borderId="0" xfId="19" applyFont="1" applyProtection="1">
      <protection hidden="1"/>
    </xf>
    <xf numFmtId="10" fontId="21" fillId="0" borderId="7" xfId="2" applyNumberFormat="1" applyFont="1" applyBorder="1" applyProtection="1">
      <protection hidden="1"/>
    </xf>
    <xf numFmtId="10" fontId="51" fillId="10" borderId="58" xfId="2" applyNumberFormat="1" applyFont="1" applyFill="1" applyBorder="1" applyProtection="1">
      <protection hidden="1"/>
    </xf>
    <xf numFmtId="10" fontId="32" fillId="10" borderId="3" xfId="23" applyNumberFormat="1" applyFont="1" applyFill="1" applyBorder="1" applyProtection="1">
      <protection hidden="1"/>
    </xf>
    <xf numFmtId="10" fontId="25" fillId="4" borderId="37" xfId="19" applyNumberFormat="1" applyFont="1" applyFill="1" applyBorder="1" applyAlignment="1" applyProtection="1">
      <alignment vertical="center"/>
      <protection locked="0"/>
    </xf>
    <xf numFmtId="3" fontId="32" fillId="10" borderId="17" xfId="10" applyNumberFormat="1" applyFont="1" applyFill="1" applyBorder="1" applyAlignment="1" applyProtection="1">
      <alignment vertical="center"/>
      <protection hidden="1"/>
    </xf>
    <xf numFmtId="0" fontId="24" fillId="10" borderId="17" xfId="10" applyFont="1" applyFill="1" applyBorder="1" applyAlignment="1" applyProtection="1">
      <alignment vertical="center"/>
      <protection hidden="1"/>
    </xf>
    <xf numFmtId="165" fontId="32" fillId="10" borderId="17" xfId="10" applyNumberFormat="1" applyFont="1" applyFill="1" applyBorder="1" applyAlignment="1" applyProtection="1">
      <alignment vertical="center"/>
      <protection hidden="1"/>
    </xf>
    <xf numFmtId="10" fontId="32" fillId="10" borderId="60" xfId="22" applyNumberFormat="1" applyFont="1" applyFill="1" applyBorder="1" applyAlignment="1" applyProtection="1">
      <alignment vertical="center"/>
      <protection hidden="1"/>
    </xf>
    <xf numFmtId="0" fontId="21" fillId="0" borderId="0" xfId="10" applyBorder="1" applyAlignment="1" applyProtection="1">
      <alignment vertical="center"/>
      <protection hidden="1"/>
    </xf>
    <xf numFmtId="0" fontId="53" fillId="0" borderId="0" xfId="10" applyFont="1" applyAlignment="1" applyProtection="1">
      <alignment vertical="center"/>
      <protection hidden="1"/>
    </xf>
    <xf numFmtId="10" fontId="25" fillId="6" borderId="6" xfId="19" applyNumberFormat="1" applyFont="1" applyFill="1" applyBorder="1" applyAlignment="1" applyProtection="1">
      <alignment vertical="center"/>
      <protection locked="0"/>
    </xf>
    <xf numFmtId="0" fontId="22" fillId="0" borderId="7" xfId="10" applyFont="1" applyBorder="1" applyAlignment="1" applyProtection="1">
      <alignment vertical="center" shrinkToFit="1"/>
      <protection hidden="1"/>
    </xf>
    <xf numFmtId="0" fontId="55" fillId="5" borderId="64" xfId="10" applyFont="1" applyFill="1" applyBorder="1" applyAlignment="1" applyProtection="1">
      <alignment horizontal="left" vertical="center" wrapText="1" readingOrder="1"/>
      <protection hidden="1"/>
    </xf>
    <xf numFmtId="0" fontId="55" fillId="5" borderId="65" xfId="10" applyFont="1" applyFill="1" applyBorder="1" applyAlignment="1" applyProtection="1">
      <alignment horizontal="center" vertical="center" wrapText="1" readingOrder="1"/>
      <protection hidden="1"/>
    </xf>
    <xf numFmtId="0" fontId="55" fillId="5" borderId="66" xfId="10" applyFont="1" applyFill="1" applyBorder="1" applyAlignment="1" applyProtection="1">
      <alignment horizontal="center" vertical="center" wrapText="1" readingOrder="1"/>
      <protection hidden="1"/>
    </xf>
    <xf numFmtId="0" fontId="56" fillId="0" borderId="67" xfId="10" applyFont="1" applyBorder="1" applyAlignment="1" applyProtection="1">
      <alignment horizontal="left" vertical="center" wrapText="1" readingOrder="1"/>
      <protection hidden="1"/>
    </xf>
    <xf numFmtId="3" fontId="56" fillId="4" borderId="67" xfId="10" applyNumberFormat="1" applyFont="1" applyFill="1" applyBorder="1" applyAlignment="1" applyProtection="1">
      <alignment horizontal="center" vertical="center" wrapText="1" readingOrder="1"/>
      <protection hidden="1"/>
    </xf>
    <xf numFmtId="0" fontId="56" fillId="17" borderId="67" xfId="10" applyFont="1" applyFill="1" applyBorder="1" applyAlignment="1" applyProtection="1">
      <alignment horizontal="left" vertical="center" wrapText="1" readingOrder="1"/>
      <protection hidden="1"/>
    </xf>
    <xf numFmtId="10" fontId="56" fillId="17" borderId="67" xfId="10" applyNumberFormat="1" applyFont="1" applyFill="1" applyBorder="1" applyAlignment="1" applyProtection="1">
      <alignment horizontal="center" vertical="center" wrapText="1" readingOrder="1"/>
      <protection hidden="1"/>
    </xf>
    <xf numFmtId="0" fontId="56" fillId="4" borderId="67" xfId="10" applyFont="1" applyFill="1" applyBorder="1" applyAlignment="1" applyProtection="1">
      <alignment horizontal="center" vertical="center" wrapText="1" readingOrder="1"/>
      <protection hidden="1"/>
    </xf>
    <xf numFmtId="0" fontId="22" fillId="6" borderId="7" xfId="10" applyFont="1" applyFill="1" applyBorder="1" applyAlignment="1" applyProtection="1">
      <alignment horizontal="right" vertical="center"/>
      <protection locked="0"/>
    </xf>
    <xf numFmtId="3" fontId="21" fillId="17" borderId="67" xfId="14" applyNumberFormat="1" applyFill="1" applyBorder="1" applyAlignment="1" applyProtection="1">
      <alignment horizontal="center" vertical="center"/>
      <protection hidden="1"/>
    </xf>
    <xf numFmtId="0" fontId="21" fillId="0" borderId="0" xfId="10" applyFont="1" applyAlignment="1" applyProtection="1">
      <alignment vertical="center"/>
      <protection hidden="1"/>
    </xf>
    <xf numFmtId="0" fontId="56" fillId="17" borderId="67" xfId="10" applyFont="1" applyFill="1" applyBorder="1" applyAlignment="1" applyProtection="1">
      <alignment horizontal="center" vertical="center" wrapText="1" readingOrder="1"/>
      <protection hidden="1"/>
    </xf>
    <xf numFmtId="3" fontId="0" fillId="4" borderId="67" xfId="14" applyNumberFormat="1" applyFont="1" applyFill="1" applyBorder="1" applyAlignment="1" applyProtection="1">
      <alignment horizontal="center" vertical="center"/>
      <protection hidden="1"/>
    </xf>
    <xf numFmtId="0" fontId="56" fillId="0" borderId="67" xfId="10" applyFont="1" applyBorder="1" applyAlignment="1" applyProtection="1">
      <alignment horizontal="center" vertical="center" wrapText="1" readingOrder="1"/>
      <protection hidden="1"/>
    </xf>
    <xf numFmtId="3" fontId="56" fillId="17" borderId="67" xfId="10" applyNumberFormat="1" applyFont="1" applyFill="1" applyBorder="1" applyAlignment="1" applyProtection="1">
      <alignment horizontal="center" vertical="center" wrapText="1" readingOrder="1"/>
      <protection hidden="1"/>
    </xf>
    <xf numFmtId="0" fontId="57" fillId="5" borderId="64" xfId="10" applyFont="1" applyFill="1" applyBorder="1" applyAlignment="1" applyProtection="1">
      <alignment horizontal="left" vertical="center" wrapText="1" readingOrder="1"/>
      <protection hidden="1"/>
    </xf>
    <xf numFmtId="10" fontId="55" fillId="10" borderId="65" xfId="10" applyNumberFormat="1" applyFont="1" applyFill="1" applyBorder="1" applyAlignment="1" applyProtection="1">
      <alignment horizontal="center" vertical="center" wrapText="1" readingOrder="1"/>
      <protection hidden="1"/>
    </xf>
    <xf numFmtId="10" fontId="55" fillId="10" borderId="66" xfId="10" applyNumberFormat="1" applyFont="1" applyFill="1" applyBorder="1" applyAlignment="1" applyProtection="1">
      <alignment horizontal="center" vertical="center" wrapText="1" readingOrder="1"/>
      <protection hidden="1"/>
    </xf>
    <xf numFmtId="0" fontId="22" fillId="0" borderId="0" xfId="10" applyFont="1" applyAlignment="1">
      <alignment vertical="center"/>
    </xf>
    <xf numFmtId="0" fontId="22" fillId="0" borderId="0" xfId="10" applyFont="1" applyAlignment="1">
      <alignment horizontal="center" vertical="center"/>
    </xf>
    <xf numFmtId="0" fontId="21" fillId="0" borderId="0" xfId="10" applyFont="1" applyAlignment="1">
      <alignment vertical="center"/>
    </xf>
    <xf numFmtId="0" fontId="21" fillId="0" borderId="0" xfId="10" applyFont="1"/>
    <xf numFmtId="0" fontId="58" fillId="0" borderId="0" xfId="10" applyFont="1"/>
    <xf numFmtId="0" fontId="0" fillId="0" borderId="69" xfId="0" applyBorder="1"/>
    <xf numFmtId="0" fontId="0" fillId="0" borderId="70" xfId="0" applyBorder="1"/>
    <xf numFmtId="0" fontId="60" fillId="0" borderId="23" xfId="0" applyFont="1" applyBorder="1"/>
    <xf numFmtId="0" fontId="0" fillId="0" borderId="5" xfId="0" applyBorder="1"/>
    <xf numFmtId="0" fontId="0" fillId="0" borderId="2" xfId="0" applyBorder="1"/>
    <xf numFmtId="3" fontId="0" fillId="21" borderId="24" xfId="0" applyNumberFormat="1" applyFill="1" applyBorder="1" applyProtection="1">
      <protection locked="0"/>
    </xf>
    <xf numFmtId="0" fontId="0" fillId="21" borderId="24" xfId="0" applyFill="1" applyBorder="1" applyProtection="1">
      <protection locked="0"/>
    </xf>
    <xf numFmtId="10" fontId="0" fillId="21" borderId="24" xfId="0" applyNumberFormat="1" applyFill="1" applyBorder="1" applyProtection="1">
      <protection locked="0"/>
    </xf>
    <xf numFmtId="0" fontId="60" fillId="0" borderId="71" xfId="0" applyFont="1" applyBorder="1"/>
    <xf numFmtId="0" fontId="0" fillId="0" borderId="72" xfId="0" applyBorder="1"/>
    <xf numFmtId="0" fontId="0" fillId="0" borderId="73" xfId="0" applyBorder="1"/>
    <xf numFmtId="6" fontId="61" fillId="0" borderId="74" xfId="0" applyNumberFormat="1" applyFont="1" applyBorder="1" applyProtection="1">
      <protection hidden="1"/>
    </xf>
    <xf numFmtId="2" fontId="61" fillId="0" borderId="74" xfId="0" applyNumberFormat="1" applyFont="1" applyBorder="1" applyProtection="1">
      <protection hidden="1"/>
    </xf>
    <xf numFmtId="8" fontId="62" fillId="4" borderId="68" xfId="0" applyNumberFormat="1" applyFont="1" applyFill="1" applyBorder="1" applyAlignment="1" applyProtection="1">
      <alignment vertical="center"/>
      <protection hidden="1"/>
    </xf>
    <xf numFmtId="10" fontId="61" fillId="0" borderId="74" xfId="0" applyNumberFormat="1" applyFont="1" applyBorder="1" applyProtection="1">
      <protection hidden="1"/>
    </xf>
    <xf numFmtId="0" fontId="0" fillId="0" borderId="0" xfId="0" applyFont="1" applyAlignment="1">
      <alignment vertical="center"/>
    </xf>
    <xf numFmtId="8" fontId="0" fillId="0" borderId="0" xfId="0" applyNumberFormat="1" applyAlignment="1">
      <alignment vertical="center"/>
    </xf>
    <xf numFmtId="0" fontId="0" fillId="0" borderId="0" xfId="0" applyAlignment="1">
      <alignment vertical="center"/>
    </xf>
    <xf numFmtId="8" fontId="0" fillId="0" borderId="0" xfId="0" applyNumberFormat="1"/>
    <xf numFmtId="0" fontId="29" fillId="0" borderId="71" xfId="0" applyFont="1" applyBorder="1"/>
    <xf numFmtId="0" fontId="0" fillId="0" borderId="0" xfId="0" applyAlignment="1" applyProtection="1">
      <alignment vertical="center"/>
      <protection hidden="1"/>
    </xf>
    <xf numFmtId="0" fontId="51" fillId="10" borderId="7" xfId="0" applyFont="1" applyFill="1" applyBorder="1" applyAlignment="1" applyProtection="1">
      <alignment vertical="center"/>
      <protection hidden="1"/>
    </xf>
    <xf numFmtId="0" fontId="65" fillId="4" borderId="7" xfId="0" applyFont="1" applyFill="1" applyBorder="1" applyAlignment="1" applyProtection="1">
      <alignment horizontal="center" vertical="center" shrinkToFit="1"/>
      <protection hidden="1"/>
    </xf>
    <xf numFmtId="0" fontId="66" fillId="5" borderId="7" xfId="0" applyFont="1" applyFill="1" applyBorder="1" applyAlignment="1" applyProtection="1">
      <alignment horizontal="center" vertical="center" shrinkToFit="1"/>
      <protection hidden="1"/>
    </xf>
    <xf numFmtId="0" fontId="0" fillId="0" borderId="7" xfId="0" applyBorder="1" applyAlignment="1" applyProtection="1">
      <alignment vertical="center"/>
      <protection hidden="1"/>
    </xf>
    <xf numFmtId="171" fontId="0" fillId="0" borderId="7" xfId="0" applyNumberFormat="1" applyBorder="1" applyAlignment="1" applyProtection="1">
      <alignment vertical="center"/>
      <protection hidden="1"/>
    </xf>
    <xf numFmtId="9" fontId="0" fillId="21" borderId="7" xfId="0" applyNumberFormat="1" applyFill="1" applyBorder="1" applyAlignment="1" applyProtection="1">
      <alignment horizontal="center" vertical="center"/>
      <protection locked="0" hidden="1"/>
    </xf>
    <xf numFmtId="171" fontId="0" fillId="0" borderId="7" xfId="1" applyNumberFormat="1" applyFont="1" applyBorder="1" applyAlignment="1" applyProtection="1">
      <alignment vertical="center"/>
      <protection hidden="1"/>
    </xf>
    <xf numFmtId="10" fontId="0" fillId="21" borderId="7" xfId="0" applyNumberFormat="1" applyFill="1" applyBorder="1" applyAlignment="1" applyProtection="1">
      <alignment horizontal="center" vertical="center"/>
      <protection locked="0" hidden="1"/>
    </xf>
    <xf numFmtId="9" fontId="0" fillId="4" borderId="0" xfId="0" applyNumberFormat="1" applyFill="1" applyAlignment="1" applyProtection="1">
      <alignment vertical="center"/>
      <protection hidden="1"/>
    </xf>
    <xf numFmtId="166" fontId="0" fillId="0" borderId="0" xfId="1" applyNumberFormat="1" applyFont="1" applyAlignment="1" applyProtection="1">
      <alignment vertical="center"/>
      <protection hidden="1"/>
    </xf>
    <xf numFmtId="9" fontId="20" fillId="4" borderId="0" xfId="0" applyNumberFormat="1" applyFont="1" applyFill="1" applyAlignment="1" applyProtection="1">
      <alignment vertical="center"/>
      <protection hidden="1"/>
    </xf>
    <xf numFmtId="0" fontId="51" fillId="10" borderId="8" xfId="0" applyFont="1" applyFill="1" applyBorder="1" applyAlignment="1" applyProtection="1">
      <alignment vertical="center"/>
      <protection hidden="1"/>
    </xf>
    <xf numFmtId="0" fontId="49" fillId="5" borderId="59" xfId="0" applyFont="1" applyFill="1" applyBorder="1" applyAlignment="1" applyProtection="1">
      <alignment vertical="center"/>
      <protection hidden="1"/>
    </xf>
    <xf numFmtId="0" fontId="49" fillId="5" borderId="78" xfId="0" applyFont="1" applyFill="1" applyBorder="1" applyAlignment="1" applyProtection="1">
      <alignment vertical="center"/>
      <protection hidden="1"/>
    </xf>
    <xf numFmtId="0" fontId="50" fillId="0" borderId="7" xfId="0" applyFont="1" applyBorder="1" applyAlignment="1" applyProtection="1">
      <alignment vertical="center"/>
      <protection hidden="1"/>
    </xf>
    <xf numFmtId="0" fontId="50" fillId="0" borderId="7" xfId="0" applyFont="1" applyBorder="1" applyAlignment="1" applyProtection="1">
      <alignment horizontal="center" vertical="center"/>
      <protection hidden="1"/>
    </xf>
    <xf numFmtId="171" fontId="61" fillId="0" borderId="79" xfId="0" applyNumberFormat="1" applyFont="1" applyBorder="1" applyAlignment="1" applyProtection="1">
      <alignment vertical="center"/>
      <protection hidden="1"/>
    </xf>
    <xf numFmtId="0" fontId="49" fillId="5" borderId="80" xfId="0" applyFont="1" applyFill="1" applyBorder="1" applyAlignment="1" applyProtection="1">
      <alignment vertical="center"/>
      <protection hidden="1"/>
    </xf>
    <xf numFmtId="0" fontId="0" fillId="21" borderId="7" xfId="0" applyFill="1" applyBorder="1" applyAlignment="1" applyProtection="1">
      <alignment vertical="center"/>
      <protection locked="0" hidden="1"/>
    </xf>
    <xf numFmtId="9" fontId="0" fillId="21" borderId="7" xfId="0" applyNumberFormat="1" applyFill="1" applyBorder="1" applyAlignment="1" applyProtection="1">
      <alignment vertical="center"/>
      <protection locked="0" hidden="1"/>
    </xf>
    <xf numFmtId="0" fontId="0" fillId="4" borderId="63" xfId="0" applyFont="1" applyFill="1" applyBorder="1" applyAlignment="1" applyProtection="1">
      <alignment vertical="center"/>
      <protection hidden="1"/>
    </xf>
    <xf numFmtId="171" fontId="0" fillId="21" borderId="7" xfId="0" applyNumberFormat="1" applyFill="1" applyBorder="1" applyAlignment="1" applyProtection="1">
      <alignment vertical="center"/>
      <protection locked="0" hidden="1"/>
    </xf>
    <xf numFmtId="0" fontId="49" fillId="5" borderId="63" xfId="0" applyFont="1" applyFill="1" applyBorder="1" applyAlignment="1" applyProtection="1">
      <alignment vertical="center"/>
      <protection hidden="1"/>
    </xf>
    <xf numFmtId="0" fontId="51" fillId="10" borderId="0" xfId="0" applyFont="1" applyFill="1" applyAlignment="1" applyProtection="1">
      <alignment vertical="center"/>
      <protection hidden="1"/>
    </xf>
    <xf numFmtId="0" fontId="0" fillId="0" borderId="7" xfId="0" applyFont="1" applyBorder="1" applyAlignment="1" applyProtection="1">
      <alignment vertical="center"/>
      <protection hidden="1"/>
    </xf>
    <xf numFmtId="0" fontId="0" fillId="21" borderId="7" xfId="0" applyFill="1" applyBorder="1" applyAlignment="1" applyProtection="1">
      <alignment horizontal="center" vertical="center"/>
      <protection locked="0" hidden="1"/>
    </xf>
    <xf numFmtId="173" fontId="0" fillId="0" borderId="0" xfId="0" applyNumberFormat="1" applyAlignment="1" applyProtection="1">
      <alignment vertical="center"/>
      <protection hidden="1"/>
    </xf>
    <xf numFmtId="10" fontId="0" fillId="0" borderId="0" xfId="2" applyNumberFormat="1" applyFont="1" applyAlignment="1" applyProtection="1">
      <alignment vertical="center"/>
      <protection hidden="1"/>
    </xf>
    <xf numFmtId="1" fontId="0" fillId="0" borderId="0" xfId="0" applyNumberFormat="1" applyAlignment="1" applyProtection="1">
      <alignment vertical="center"/>
      <protection hidden="1"/>
    </xf>
    <xf numFmtId="171" fontId="0" fillId="0" borderId="0" xfId="0" applyNumberFormat="1" applyAlignment="1" applyProtection="1">
      <alignment vertical="center"/>
      <protection hidden="1"/>
    </xf>
    <xf numFmtId="10" fontId="0" fillId="21" borderId="7" xfId="0" applyNumberFormat="1" applyFill="1" applyBorder="1" applyAlignment="1" applyProtection="1">
      <alignment vertical="center"/>
      <protection locked="0" hidden="1"/>
    </xf>
    <xf numFmtId="0" fontId="21" fillId="0" borderId="0" xfId="4"/>
    <xf numFmtId="0" fontId="21" fillId="0" borderId="21" xfId="4" applyFont="1" applyBorder="1" applyAlignment="1">
      <alignment horizontal="centerContinuous"/>
    </xf>
    <xf numFmtId="0" fontId="21" fillId="4" borderId="7" xfId="4" applyFill="1" applyBorder="1" applyAlignment="1" applyProtection="1">
      <alignment horizontal="centerContinuous" vertical="center"/>
      <protection hidden="1"/>
    </xf>
    <xf numFmtId="0" fontId="21" fillId="0" borderId="21" xfId="4" applyBorder="1"/>
    <xf numFmtId="173" fontId="21" fillId="4" borderId="7" xfId="4" applyNumberFormat="1" applyFill="1" applyBorder="1" applyAlignment="1" applyProtection="1">
      <alignment vertical="center"/>
      <protection hidden="1"/>
    </xf>
    <xf numFmtId="0" fontId="22" fillId="0" borderId="7" xfId="4" applyFont="1" applyBorder="1" applyAlignment="1">
      <alignment horizontal="center" vertical="center"/>
    </xf>
    <xf numFmtId="0" fontId="22" fillId="0" borderId="7" xfId="4" applyFont="1" applyBorder="1" applyAlignment="1">
      <alignment horizontal="center" vertical="center" wrapText="1"/>
    </xf>
    <xf numFmtId="0" fontId="22" fillId="0" borderId="0" xfId="4" applyFont="1" applyAlignment="1">
      <alignment horizontal="center" vertical="center"/>
    </xf>
    <xf numFmtId="0" fontId="21" fillId="0" borderId="7" xfId="4" applyFont="1" applyBorder="1"/>
    <xf numFmtId="0" fontId="21" fillId="6" borderId="7" xfId="4" applyFont="1" applyFill="1" applyBorder="1" applyAlignment="1" applyProtection="1">
      <alignment vertical="center"/>
      <protection locked="0" hidden="1"/>
    </xf>
    <xf numFmtId="0" fontId="21" fillId="6" borderId="7" xfId="4" applyFont="1" applyFill="1" applyBorder="1" applyAlignment="1" applyProtection="1">
      <alignment vertical="center"/>
      <protection locked="0"/>
    </xf>
    <xf numFmtId="0" fontId="21" fillId="0" borderId="0" xfId="4" applyFont="1"/>
    <xf numFmtId="0" fontId="67" fillId="0" borderId="7" xfId="4" applyFont="1" applyBorder="1" applyAlignment="1">
      <alignment vertical="center"/>
    </xf>
    <xf numFmtId="165" fontId="0" fillId="6" borderId="7" xfId="13" applyNumberFormat="1" applyFont="1" applyFill="1" applyBorder="1" applyAlignment="1" applyProtection="1">
      <alignment vertical="center"/>
      <protection locked="0"/>
    </xf>
    <xf numFmtId="0" fontId="21" fillId="6" borderId="7" xfId="4" applyFont="1" applyFill="1" applyBorder="1" applyAlignment="1" applyProtection="1">
      <alignment horizontal="center" vertical="center"/>
      <protection locked="0"/>
    </xf>
    <xf numFmtId="0" fontId="21" fillId="4" borderId="7" xfId="4" applyFont="1" applyFill="1" applyBorder="1" applyAlignment="1">
      <alignment horizontal="left" vertical="center"/>
    </xf>
    <xf numFmtId="0" fontId="21" fillId="4" borderId="7" xfId="4" applyFont="1" applyFill="1" applyBorder="1" applyAlignment="1">
      <alignment horizontal="left" vertical="center" wrapText="1"/>
    </xf>
    <xf numFmtId="165" fontId="0" fillId="0" borderId="18" xfId="13" applyNumberFormat="1" applyFont="1" applyBorder="1"/>
    <xf numFmtId="0" fontId="21" fillId="0" borderId="18" xfId="4" applyFont="1" applyBorder="1" applyAlignment="1">
      <alignment vertical="center"/>
    </xf>
    <xf numFmtId="0" fontId="21" fillId="0" borderId="18" xfId="4" applyFont="1" applyBorder="1" applyAlignment="1">
      <alignment horizontal="center" vertical="center"/>
    </xf>
    <xf numFmtId="165" fontId="52" fillId="4" borderId="0" xfId="13" applyNumberFormat="1" applyFont="1" applyFill="1" applyAlignment="1">
      <alignment horizontal="center" vertical="center"/>
    </xf>
    <xf numFmtId="165" fontId="68" fillId="4" borderId="0" xfId="13" applyNumberFormat="1" applyFont="1" applyFill="1" applyAlignment="1">
      <alignment horizontal="center" vertical="center"/>
    </xf>
    <xf numFmtId="0" fontId="21" fillId="0" borderId="7" xfId="4" applyFont="1" applyBorder="1" applyAlignment="1">
      <alignment horizontal="left" vertical="center" indent="4"/>
    </xf>
    <xf numFmtId="165" fontId="0" fillId="4" borderId="0" xfId="13" applyNumberFormat="1" applyFont="1" applyFill="1"/>
    <xf numFmtId="0" fontId="69" fillId="0" borderId="0" xfId="4" applyFont="1"/>
    <xf numFmtId="0" fontId="21" fillId="4" borderId="0" xfId="4" applyFill="1"/>
    <xf numFmtId="0" fontId="56" fillId="23" borderId="35" xfId="18" applyFont="1" applyFill="1" applyBorder="1"/>
    <xf numFmtId="0" fontId="56" fillId="23" borderId="18" xfId="18" applyFont="1" applyFill="1" applyBorder="1"/>
    <xf numFmtId="0" fontId="56" fillId="23" borderId="14" xfId="18" applyFont="1" applyFill="1" applyBorder="1"/>
    <xf numFmtId="0" fontId="56" fillId="23" borderId="82" xfId="18" applyFont="1" applyFill="1" applyBorder="1"/>
    <xf numFmtId="0" fontId="71" fillId="23" borderId="0" xfId="18" applyFont="1" applyFill="1"/>
    <xf numFmtId="171" fontId="72" fillId="24" borderId="7" xfId="18" applyNumberFormat="1" applyFont="1" applyFill="1" applyBorder="1" applyAlignment="1" applyProtection="1">
      <alignment horizontal="center"/>
      <protection locked="0"/>
    </xf>
    <xf numFmtId="10" fontId="73" fillId="24" borderId="7" xfId="18" applyNumberFormat="1" applyFont="1" applyFill="1" applyBorder="1" applyAlignment="1" applyProtection="1">
      <alignment horizontal="center"/>
      <protection locked="0"/>
    </xf>
    <xf numFmtId="0" fontId="56" fillId="23" borderId="1" xfId="18" applyFont="1" applyFill="1" applyBorder="1"/>
    <xf numFmtId="0" fontId="74" fillId="23" borderId="0" xfId="18" applyFont="1" applyFill="1"/>
    <xf numFmtId="171" fontId="29" fillId="23" borderId="0" xfId="18" applyNumberFormat="1" applyFont="1" applyFill="1" applyAlignment="1">
      <alignment horizontal="center"/>
    </xf>
    <xf numFmtId="0" fontId="73" fillId="24" borderId="7" xfId="18" applyFont="1" applyFill="1" applyBorder="1" applyAlignment="1" applyProtection="1">
      <alignment horizontal="center"/>
      <protection locked="0"/>
    </xf>
    <xf numFmtId="9" fontId="73" fillId="24" borderId="7" xfId="18" applyNumberFormat="1" applyFont="1" applyFill="1" applyBorder="1" applyAlignment="1" applyProtection="1">
      <alignment horizontal="center"/>
      <protection locked="0"/>
    </xf>
    <xf numFmtId="0" fontId="57" fillId="23" borderId="0" xfId="18" applyFont="1" applyFill="1" applyAlignment="1">
      <alignment horizontal="center"/>
    </xf>
    <xf numFmtId="0" fontId="76" fillId="23" borderId="0" xfId="18" applyFont="1" applyFill="1" applyAlignment="1">
      <alignment horizontal="right"/>
    </xf>
    <xf numFmtId="0" fontId="76" fillId="23" borderId="1" xfId="18" applyFont="1" applyFill="1" applyBorder="1" applyAlignment="1">
      <alignment horizontal="right"/>
    </xf>
    <xf numFmtId="0" fontId="77" fillId="23" borderId="35" xfId="18" applyFont="1" applyFill="1" applyBorder="1"/>
    <xf numFmtId="0" fontId="77" fillId="23" borderId="18" xfId="18" applyFont="1" applyFill="1" applyBorder="1"/>
    <xf numFmtId="0" fontId="77" fillId="23" borderId="14" xfId="18" applyFont="1" applyFill="1" applyBorder="1"/>
    <xf numFmtId="0" fontId="77" fillId="23" borderId="82" xfId="18" applyFont="1" applyFill="1" applyBorder="1"/>
    <xf numFmtId="0" fontId="78" fillId="23" borderId="0" xfId="18" applyFont="1" applyFill="1"/>
    <xf numFmtId="0" fontId="77" fillId="23" borderId="1" xfId="18" applyFont="1" applyFill="1" applyBorder="1"/>
    <xf numFmtId="0" fontId="78" fillId="23" borderId="7" xfId="18" applyFont="1" applyFill="1" applyBorder="1"/>
    <xf numFmtId="171" fontId="60" fillId="23" borderId="7" xfId="18" applyNumberFormat="1" applyFont="1" applyFill="1" applyBorder="1" applyAlignment="1">
      <alignment horizontal="center"/>
    </xf>
    <xf numFmtId="0" fontId="60" fillId="23" borderId="7" xfId="18" applyFont="1" applyFill="1" applyBorder="1" applyAlignment="1">
      <alignment horizontal="center"/>
    </xf>
    <xf numFmtId="0" fontId="79" fillId="23" borderId="7" xfId="18" applyFont="1" applyFill="1" applyBorder="1"/>
    <xf numFmtId="0" fontId="78" fillId="23" borderId="7" xfId="18" applyFont="1" applyFill="1" applyBorder="1" applyAlignment="1">
      <alignment horizontal="center"/>
    </xf>
    <xf numFmtId="171" fontId="80" fillId="23" borderId="7" xfId="18" applyNumberFormat="1" applyFont="1" applyFill="1" applyBorder="1" applyAlignment="1">
      <alignment horizontal="center"/>
    </xf>
    <xf numFmtId="0" fontId="81" fillId="23" borderId="0" xfId="18" applyFont="1" applyFill="1"/>
    <xf numFmtId="0" fontId="77" fillId="23" borderId="36" xfId="18" applyFont="1" applyFill="1" applyBorder="1"/>
    <xf numFmtId="0" fontId="81" fillId="23" borderId="37" xfId="18" applyFont="1" applyFill="1" applyBorder="1"/>
    <xf numFmtId="0" fontId="77" fillId="23" borderId="3" xfId="18" applyFont="1" applyFill="1" applyBorder="1"/>
    <xf numFmtId="171" fontId="21" fillId="4" borderId="0" xfId="4" applyNumberFormat="1" applyFill="1"/>
    <xf numFmtId="6" fontId="21" fillId="4" borderId="0" xfId="4" applyNumberFormat="1" applyFill="1"/>
    <xf numFmtId="0" fontId="0" fillId="4" borderId="0" xfId="0" applyFill="1" applyAlignment="1" applyProtection="1">
      <alignment vertical="center"/>
      <protection hidden="1"/>
    </xf>
    <xf numFmtId="0" fontId="83" fillId="4" borderId="7" xfId="0" applyFont="1" applyFill="1" applyBorder="1" applyAlignment="1" applyProtection="1">
      <alignment vertical="center"/>
      <protection hidden="1"/>
    </xf>
    <xf numFmtId="171" fontId="83" fillId="21" borderId="7" xfId="1" applyNumberFormat="1" applyFont="1" applyFill="1" applyBorder="1" applyAlignment="1" applyProtection="1">
      <alignment vertical="center"/>
      <protection locked="0" hidden="1"/>
    </xf>
    <xf numFmtId="9" fontId="83" fillId="21" borderId="7" xfId="0" applyNumberFormat="1" applyFont="1" applyFill="1" applyBorder="1" applyAlignment="1" applyProtection="1">
      <alignment vertical="center"/>
      <protection locked="0" hidden="1"/>
    </xf>
    <xf numFmtId="0" fontId="84" fillId="4" borderId="7" xfId="0" applyFont="1" applyFill="1" applyBorder="1" applyAlignment="1" applyProtection="1">
      <alignment vertical="center"/>
      <protection hidden="1"/>
    </xf>
    <xf numFmtId="171" fontId="84" fillId="4" borderId="7" xfId="1" applyNumberFormat="1" applyFont="1" applyFill="1" applyBorder="1" applyAlignment="1" applyProtection="1">
      <alignment vertical="center"/>
      <protection hidden="1"/>
    </xf>
    <xf numFmtId="0" fontId="84" fillId="4" borderId="0" xfId="0" applyFont="1" applyFill="1" applyAlignment="1" applyProtection="1">
      <alignment vertical="center"/>
      <protection hidden="1"/>
    </xf>
    <xf numFmtId="171" fontId="84" fillId="4" borderId="0" xfId="1" applyNumberFormat="1" applyFont="1" applyFill="1" applyAlignment="1" applyProtection="1">
      <alignment vertical="center"/>
      <protection hidden="1"/>
    </xf>
    <xf numFmtId="0" fontId="85" fillId="4" borderId="83" xfId="0" applyFont="1" applyFill="1" applyBorder="1" applyAlignment="1" applyProtection="1">
      <alignment horizontal="centerContinuous" vertical="center"/>
      <protection hidden="1"/>
    </xf>
    <xf numFmtId="0" fontId="61" fillId="4" borderId="83" xfId="0" applyFont="1" applyFill="1" applyBorder="1" applyAlignment="1" applyProtection="1">
      <alignment horizontal="centerContinuous" vertical="center"/>
      <protection hidden="1"/>
    </xf>
    <xf numFmtId="0" fontId="83" fillId="4" borderId="0" xfId="0" applyFont="1" applyFill="1" applyAlignment="1" applyProtection="1">
      <alignment vertical="center"/>
      <protection hidden="1"/>
    </xf>
    <xf numFmtId="0" fontId="86" fillId="4" borderId="7" xfId="0" applyFont="1" applyFill="1" applyBorder="1" applyAlignment="1" applyProtection="1">
      <alignment vertical="center"/>
      <protection hidden="1"/>
    </xf>
    <xf numFmtId="0" fontId="0" fillId="4" borderId="0" xfId="0" applyFont="1" applyFill="1" applyAlignment="1" applyProtection="1">
      <alignment vertical="center"/>
      <protection hidden="1"/>
    </xf>
    <xf numFmtId="166" fontId="83" fillId="21" borderId="7" xfId="1" applyNumberFormat="1" applyFont="1" applyFill="1" applyBorder="1" applyAlignment="1" applyProtection="1">
      <alignment vertical="center"/>
      <protection locked="0" hidden="1"/>
    </xf>
    <xf numFmtId="2" fontId="0" fillId="4" borderId="0" xfId="0" applyNumberFormat="1" applyFill="1" applyAlignment="1" applyProtection="1">
      <alignment vertical="center"/>
      <protection hidden="1"/>
    </xf>
    <xf numFmtId="0" fontId="84" fillId="4" borderId="7" xfId="0" applyFont="1" applyFill="1" applyBorder="1" applyAlignment="1" applyProtection="1">
      <alignment vertical="top" wrapText="1"/>
      <protection hidden="1"/>
    </xf>
    <xf numFmtId="0" fontId="84" fillId="4" borderId="0" xfId="0" applyFont="1" applyFill="1" applyAlignment="1" applyProtection="1">
      <alignment vertical="top" wrapText="1"/>
      <protection hidden="1"/>
    </xf>
    <xf numFmtId="0" fontId="84" fillId="4" borderId="0" xfId="0" applyFont="1" applyFill="1" applyAlignment="1" applyProtection="1">
      <alignment horizontal="left" vertical="center" indent="13"/>
      <protection hidden="1"/>
    </xf>
    <xf numFmtId="10" fontId="84" fillId="4" borderId="0" xfId="0" applyNumberFormat="1" applyFont="1" applyFill="1" applyAlignment="1" applyProtection="1">
      <alignment vertical="center"/>
      <protection hidden="1"/>
    </xf>
    <xf numFmtId="171" fontId="87" fillId="25" borderId="7" xfId="0" applyNumberFormat="1" applyFont="1" applyFill="1" applyBorder="1" applyAlignment="1" applyProtection="1">
      <alignment vertical="center"/>
      <protection hidden="1"/>
    </xf>
    <xf numFmtId="0" fontId="49" fillId="4" borderId="0" xfId="0" applyFont="1" applyFill="1" applyAlignment="1" applyProtection="1">
      <alignment vertical="center"/>
      <protection hidden="1"/>
    </xf>
    <xf numFmtId="0" fontId="70" fillId="5" borderId="0" xfId="0" applyFont="1" applyFill="1" applyAlignment="1" applyProtection="1">
      <alignment horizontal="centerContinuous" vertical="center"/>
      <protection hidden="1"/>
    </xf>
    <xf numFmtId="0" fontId="49" fillId="5" borderId="0" xfId="0" applyFont="1" applyFill="1" applyAlignment="1" applyProtection="1">
      <alignment horizontal="centerContinuous" vertical="center"/>
      <protection hidden="1"/>
    </xf>
    <xf numFmtId="0" fontId="22" fillId="4" borderId="0" xfId="0" applyFont="1" applyFill="1" applyProtection="1">
      <protection hidden="1"/>
    </xf>
    <xf numFmtId="0" fontId="25" fillId="4" borderId="0" xfId="0" applyFont="1" applyFill="1" applyAlignment="1" applyProtection="1">
      <alignment vertical="center"/>
      <protection hidden="1"/>
    </xf>
    <xf numFmtId="0" fontId="67" fillId="4" borderId="0" xfId="0" applyFont="1" applyFill="1" applyAlignment="1" applyProtection="1">
      <alignment vertical="center"/>
      <protection hidden="1"/>
    </xf>
    <xf numFmtId="171" fontId="67" fillId="21" borderId="7" xfId="0" applyNumberFormat="1" applyFont="1" applyFill="1" applyBorder="1" applyAlignment="1" applyProtection="1">
      <alignment vertical="center"/>
      <protection locked="0" hidden="1"/>
    </xf>
    <xf numFmtId="0" fontId="0" fillId="21" borderId="7" xfId="0" applyFill="1" applyBorder="1" applyAlignment="1" applyProtection="1">
      <alignment horizontal="right" vertical="center"/>
      <protection locked="0" hidden="1"/>
    </xf>
    <xf numFmtId="0" fontId="22" fillId="4" borderId="0" xfId="0" applyFont="1" applyFill="1" applyAlignment="1" applyProtection="1">
      <alignment vertical="center"/>
      <protection hidden="1"/>
    </xf>
    <xf numFmtId="0" fontId="0" fillId="4" borderId="0" xfId="0" applyFill="1" applyAlignment="1" applyProtection="1">
      <alignment horizontal="right" vertical="center"/>
      <protection hidden="1"/>
    </xf>
    <xf numFmtId="0" fontId="32" fillId="4" borderId="0" xfId="0" applyFont="1" applyFill="1" applyAlignment="1" applyProtection="1">
      <alignment vertical="center"/>
      <protection hidden="1"/>
    </xf>
    <xf numFmtId="9" fontId="49" fillId="4" borderId="0" xfId="0" applyNumberFormat="1" applyFont="1" applyFill="1" applyAlignment="1" applyProtection="1">
      <alignment vertical="center"/>
      <protection hidden="1"/>
    </xf>
    <xf numFmtId="0" fontId="24" fillId="4" borderId="0" xfId="0" applyFont="1" applyFill="1" applyAlignment="1" applyProtection="1">
      <alignment vertical="center"/>
      <protection hidden="1"/>
    </xf>
    <xf numFmtId="9" fontId="67" fillId="21" borderId="7" xfId="0" applyNumberFormat="1" applyFont="1" applyFill="1" applyBorder="1" applyAlignment="1" applyProtection="1">
      <alignment vertical="center"/>
      <protection locked="0" hidden="1"/>
    </xf>
    <xf numFmtId="0" fontId="39" fillId="4" borderId="0" xfId="0" applyFont="1" applyFill="1" applyAlignment="1" applyProtection="1">
      <alignment vertical="center"/>
      <protection hidden="1"/>
    </xf>
    <xf numFmtId="171" fontId="39" fillId="4" borderId="28" xfId="1" applyNumberFormat="1" applyFont="1" applyFill="1" applyBorder="1" applyAlignment="1" applyProtection="1">
      <alignment vertical="center"/>
      <protection hidden="1"/>
    </xf>
    <xf numFmtId="0" fontId="25" fillId="4" borderId="7" xfId="0" applyFont="1" applyFill="1" applyBorder="1" applyAlignment="1" applyProtection="1">
      <alignment horizontal="center" vertical="center"/>
      <protection hidden="1"/>
    </xf>
    <xf numFmtId="0" fontId="67" fillId="4" borderId="0" xfId="0" applyFont="1" applyFill="1" applyAlignment="1" applyProtection="1">
      <alignment horizontal="center" vertical="center"/>
      <protection hidden="1"/>
    </xf>
    <xf numFmtId="171" fontId="67" fillId="4" borderId="0" xfId="0" applyNumberFormat="1" applyFont="1" applyFill="1" applyAlignment="1" applyProtection="1">
      <alignment vertical="center"/>
      <protection hidden="1"/>
    </xf>
    <xf numFmtId="171" fontId="67" fillId="4" borderId="0" xfId="1" applyNumberFormat="1" applyFont="1" applyFill="1" applyAlignment="1" applyProtection="1">
      <alignment vertical="center"/>
      <protection hidden="1"/>
    </xf>
    <xf numFmtId="8" fontId="0" fillId="4" borderId="0" xfId="0" applyNumberFormat="1" applyFill="1" applyProtection="1">
      <protection hidden="1"/>
    </xf>
    <xf numFmtId="8" fontId="0" fillId="4" borderId="0" xfId="0" applyNumberFormat="1" applyFill="1" applyAlignment="1" applyProtection="1">
      <alignment vertical="center"/>
      <protection hidden="1"/>
    </xf>
    <xf numFmtId="8" fontId="88" fillId="4" borderId="0" xfId="0" applyNumberFormat="1" applyFont="1" applyFill="1" applyAlignment="1" applyProtection="1">
      <alignment vertical="center"/>
      <protection hidden="1"/>
    </xf>
    <xf numFmtId="10" fontId="0" fillId="4" borderId="0" xfId="2" applyNumberFormat="1" applyFont="1" applyFill="1" applyAlignment="1" applyProtection="1">
      <alignment vertical="center"/>
      <protection hidden="1"/>
    </xf>
    <xf numFmtId="9" fontId="25" fillId="4" borderId="0" xfId="0" applyNumberFormat="1" applyFont="1" applyFill="1" applyAlignment="1" applyProtection="1">
      <alignment vertical="center"/>
      <protection hidden="1"/>
    </xf>
    <xf numFmtId="174" fontId="0" fillId="4" borderId="0" xfId="0" applyNumberFormat="1" applyFill="1" applyAlignment="1" applyProtection="1">
      <alignment vertical="center"/>
      <protection hidden="1"/>
    </xf>
    <xf numFmtId="0" fontId="0" fillId="4" borderId="0" xfId="0" applyFont="1" applyFill="1" applyProtection="1">
      <protection hidden="1"/>
    </xf>
    <xf numFmtId="0" fontId="21" fillId="0" borderId="0" xfId="19" applyAlignment="1">
      <alignment vertical="center"/>
    </xf>
    <xf numFmtId="0" fontId="21" fillId="0" borderId="0" xfId="19" applyAlignment="1">
      <alignment horizontal="center"/>
    </xf>
    <xf numFmtId="0" fontId="24" fillId="0" borderId="0" xfId="19" applyFont="1"/>
    <xf numFmtId="0" fontId="21" fillId="0" borderId="0" xfId="19" applyAlignment="1">
      <alignment horizontal="center" vertical="center"/>
    </xf>
    <xf numFmtId="0" fontId="32" fillId="9" borderId="85" xfId="19" applyFont="1" applyFill="1" applyBorder="1" applyAlignment="1">
      <alignment horizontal="center" vertical="center"/>
    </xf>
    <xf numFmtId="165" fontId="25" fillId="6" borderId="7" xfId="17" applyNumberFormat="1" applyFont="1" applyFill="1" applyBorder="1" applyAlignment="1" applyProtection="1">
      <alignment vertical="center"/>
      <protection locked="0"/>
    </xf>
    <xf numFmtId="9" fontId="28" fillId="6" borderId="7" xfId="19" applyNumberFormat="1" applyFont="1" applyFill="1" applyBorder="1" applyAlignment="1" applyProtection="1">
      <alignment vertical="center"/>
      <protection locked="0"/>
    </xf>
    <xf numFmtId="165" fontId="25" fillId="6" borderId="7" xfId="17" applyNumberFormat="1" applyFont="1" applyFill="1" applyBorder="1" applyAlignment="1" applyProtection="1">
      <alignment vertical="center" shrinkToFit="1"/>
      <protection locked="0"/>
    </xf>
    <xf numFmtId="165" fontId="28" fillId="6" borderId="7" xfId="17" applyNumberFormat="1" applyFont="1" applyFill="1" applyBorder="1" applyAlignment="1" applyProtection="1">
      <alignment vertical="center"/>
      <protection locked="0"/>
    </xf>
    <xf numFmtId="0" fontId="21" fillId="0" borderId="0" xfId="19" applyAlignment="1">
      <alignment horizontal="left" vertical="center"/>
    </xf>
    <xf numFmtId="165" fontId="28" fillId="4" borderId="0" xfId="17" applyNumberFormat="1" applyFont="1" applyFill="1" applyAlignment="1">
      <alignment vertical="center"/>
    </xf>
    <xf numFmtId="0" fontId="21" fillId="0" borderId="0" xfId="19" applyAlignment="1">
      <alignment vertical="center" wrapText="1"/>
    </xf>
    <xf numFmtId="0" fontId="21" fillId="0" borderId="37" xfId="19" applyBorder="1"/>
    <xf numFmtId="0" fontId="32" fillId="9" borderId="15" xfId="19" applyFont="1" applyFill="1" applyBorder="1" applyAlignment="1">
      <alignment horizontal="center" vertical="center"/>
    </xf>
    <xf numFmtId="0" fontId="32" fillId="9" borderId="17" xfId="19" applyFont="1" applyFill="1" applyBorder="1" applyAlignment="1">
      <alignment horizontal="center" vertical="center"/>
    </xf>
    <xf numFmtId="0" fontId="32" fillId="9" borderId="17" xfId="19" applyFont="1" applyFill="1" applyBorder="1" applyAlignment="1">
      <alignment horizontal="center" vertical="center" wrapText="1"/>
    </xf>
    <xf numFmtId="0" fontId="21" fillId="0" borderId="7" xfId="19" applyBorder="1" applyAlignment="1">
      <alignment horizontal="center"/>
    </xf>
    <xf numFmtId="165" fontId="0" fillId="0" borderId="7" xfId="17" applyNumberFormat="1" applyFont="1" applyBorder="1" applyAlignment="1" applyProtection="1">
      <alignment shrinkToFit="1"/>
      <protection hidden="1"/>
    </xf>
    <xf numFmtId="165" fontId="21" fillId="0" borderId="7" xfId="19" applyNumberFormat="1" applyBorder="1" applyAlignment="1" applyProtection="1">
      <alignment shrinkToFit="1"/>
      <protection hidden="1"/>
    </xf>
    <xf numFmtId="0" fontId="21" fillId="26" borderId="0" xfId="19" applyFill="1" applyAlignment="1">
      <alignment vertical="center"/>
    </xf>
    <xf numFmtId="9" fontId="21" fillId="6" borderId="92" xfId="19" applyNumberFormat="1" applyFill="1" applyBorder="1" applyAlignment="1" applyProtection="1">
      <alignment vertical="center" wrapText="1"/>
      <protection locked="0"/>
    </xf>
    <xf numFmtId="0" fontId="21" fillId="27" borderId="0" xfId="19" applyFill="1" applyAlignment="1">
      <alignment vertical="center"/>
    </xf>
    <xf numFmtId="0" fontId="21" fillId="6" borderId="0" xfId="19" applyFill="1" applyAlignment="1">
      <alignment vertical="center"/>
    </xf>
    <xf numFmtId="9" fontId="21" fillId="6" borderId="95" xfId="19" applyNumberFormat="1" applyFill="1" applyBorder="1" applyAlignment="1" applyProtection="1">
      <alignment vertical="center" wrapText="1"/>
      <protection locked="0"/>
    </xf>
    <xf numFmtId="0" fontId="24" fillId="0" borderId="0" xfId="19" applyFont="1" applyAlignment="1">
      <alignment vertical="center"/>
    </xf>
    <xf numFmtId="0" fontId="69" fillId="0" borderId="0" xfId="19" applyFont="1" applyAlignment="1">
      <alignment vertical="center"/>
    </xf>
    <xf numFmtId="0" fontId="22" fillId="0" borderId="0" xfId="19" applyFont="1" applyAlignment="1">
      <alignment horizontal="center" vertical="center"/>
    </xf>
    <xf numFmtId="0" fontId="24" fillId="0" borderId="0" xfId="19" applyFont="1" applyAlignment="1">
      <alignment vertical="center" wrapText="1"/>
    </xf>
    <xf numFmtId="0" fontId="89" fillId="17" borderId="28" xfId="19" applyFont="1" applyFill="1" applyBorder="1" applyAlignment="1" applyProtection="1">
      <alignment horizontal="center" vertical="center"/>
      <protection hidden="1"/>
    </xf>
    <xf numFmtId="0" fontId="89" fillId="4" borderId="0" xfId="19" applyFont="1" applyFill="1" applyAlignment="1">
      <alignment vertical="center"/>
    </xf>
    <xf numFmtId="0" fontId="32" fillId="9" borderId="60" xfId="19" applyFont="1" applyFill="1" applyBorder="1" applyAlignment="1">
      <alignment horizontal="center" vertical="center" wrapText="1"/>
    </xf>
    <xf numFmtId="165" fontId="24" fillId="0" borderId="0" xfId="19" applyNumberFormat="1" applyFont="1" applyProtection="1">
      <protection hidden="1"/>
    </xf>
    <xf numFmtId="0" fontId="22" fillId="0" borderId="0" xfId="19" applyFont="1"/>
    <xf numFmtId="0" fontId="32" fillId="9" borderId="60" xfId="19" applyFont="1" applyFill="1" applyBorder="1" applyAlignment="1">
      <alignment horizontal="center" vertical="center"/>
    </xf>
    <xf numFmtId="165" fontId="0" fillId="26" borderId="92" xfId="17" applyNumberFormat="1" applyFont="1" applyFill="1" applyBorder="1" applyAlignment="1" applyProtection="1">
      <alignment vertical="center" shrinkToFit="1"/>
      <protection hidden="1"/>
    </xf>
    <xf numFmtId="10" fontId="21" fillId="6" borderId="96" xfId="19" applyNumberFormat="1" applyFill="1" applyBorder="1" applyAlignment="1" applyProtection="1">
      <alignment vertical="center" wrapText="1"/>
      <protection locked="0"/>
    </xf>
    <xf numFmtId="10" fontId="21" fillId="26" borderId="0" xfId="19" applyNumberFormat="1" applyFill="1" applyAlignment="1" applyProtection="1">
      <alignment vertical="center"/>
      <protection hidden="1"/>
    </xf>
    <xf numFmtId="165" fontId="0" fillId="27" borderId="92" xfId="17" applyNumberFormat="1" applyFont="1" applyFill="1" applyBorder="1" applyAlignment="1" applyProtection="1">
      <alignment vertical="center" shrinkToFit="1"/>
      <protection hidden="1"/>
    </xf>
    <xf numFmtId="10" fontId="21" fillId="27" borderId="0" xfId="19" applyNumberFormat="1" applyFill="1" applyAlignment="1" applyProtection="1">
      <alignment vertical="center"/>
      <protection hidden="1"/>
    </xf>
    <xf numFmtId="165" fontId="0" fillId="18" borderId="95" xfId="17" applyNumberFormat="1" applyFont="1" applyFill="1" applyBorder="1" applyAlignment="1" applyProtection="1">
      <alignment vertical="center" shrinkToFit="1"/>
      <protection hidden="1"/>
    </xf>
    <xf numFmtId="10" fontId="21" fillId="6" borderId="97" xfId="19" applyNumberFormat="1" applyFill="1" applyBorder="1" applyAlignment="1" applyProtection="1">
      <alignment vertical="center" wrapText="1"/>
      <protection locked="0"/>
    </xf>
    <xf numFmtId="10" fontId="21" fillId="6" borderId="0" xfId="19" applyNumberFormat="1" applyFill="1" applyAlignment="1" applyProtection="1">
      <alignment vertical="center"/>
      <protection hidden="1"/>
    </xf>
    <xf numFmtId="10" fontId="22" fillId="28" borderId="28" xfId="19" applyNumberFormat="1" applyFont="1" applyFill="1" applyBorder="1" applyAlignment="1" applyProtection="1">
      <alignment vertical="center"/>
      <protection hidden="1"/>
    </xf>
    <xf numFmtId="10" fontId="22" fillId="4" borderId="0" xfId="19" applyNumberFormat="1" applyFont="1" applyFill="1" applyAlignment="1">
      <alignment vertical="center"/>
    </xf>
    <xf numFmtId="165" fontId="89" fillId="17" borderId="28" xfId="17" applyNumberFormat="1" applyFont="1" applyFill="1" applyBorder="1" applyAlignment="1" applyProtection="1">
      <alignment horizontal="center" vertical="center" shrinkToFit="1"/>
      <protection hidden="1"/>
    </xf>
    <xf numFmtId="0" fontId="90" fillId="4" borderId="0" xfId="0" applyFont="1" applyFill="1" applyAlignment="1" applyProtection="1">
      <alignment vertical="center"/>
      <protection hidden="1"/>
    </xf>
    <xf numFmtId="0" fontId="83" fillId="21" borderId="7" xfId="0" applyFont="1" applyFill="1" applyBorder="1" applyAlignment="1" applyProtection="1">
      <alignment horizontal="center" vertical="center"/>
      <protection locked="0" hidden="1"/>
    </xf>
    <xf numFmtId="0" fontId="83" fillId="21" borderId="7" xfId="0" applyFont="1" applyFill="1" applyBorder="1" applyAlignment="1" applyProtection="1">
      <alignment horizontal="right" vertical="center"/>
      <protection locked="0" hidden="1"/>
    </xf>
    <xf numFmtId="0" fontId="90" fillId="4" borderId="0" xfId="0" applyFont="1" applyFill="1" applyAlignment="1" applyProtection="1">
      <alignment horizontal="right" vertical="center"/>
      <protection hidden="1"/>
    </xf>
    <xf numFmtId="0" fontId="86" fillId="4" borderId="6" xfId="0" applyFont="1" applyFill="1" applyBorder="1" applyAlignment="1" applyProtection="1">
      <alignment horizontal="centerContinuous" vertical="center"/>
      <protection hidden="1"/>
    </xf>
    <xf numFmtId="0" fontId="0" fillId="4" borderId="5" xfId="0" applyFill="1" applyBorder="1" applyAlignment="1" applyProtection="1">
      <alignment horizontal="centerContinuous" vertical="center"/>
      <protection hidden="1"/>
    </xf>
    <xf numFmtId="0" fontId="83" fillId="4" borderId="5" xfId="0" applyFont="1" applyFill="1" applyBorder="1" applyAlignment="1" applyProtection="1">
      <alignment horizontal="centerContinuous" vertical="center"/>
      <protection hidden="1"/>
    </xf>
    <xf numFmtId="0" fontId="0" fillId="4" borderId="2" xfId="0" applyFill="1" applyBorder="1" applyAlignment="1" applyProtection="1">
      <alignment horizontal="centerContinuous" vertical="center"/>
      <protection hidden="1"/>
    </xf>
    <xf numFmtId="171" fontId="83" fillId="21" borderId="7" xfId="0" applyNumberFormat="1" applyFont="1" applyFill="1" applyBorder="1" applyAlignment="1" applyProtection="1">
      <alignment vertical="center"/>
      <protection locked="0" hidden="1"/>
    </xf>
    <xf numFmtId="0" fontId="83" fillId="4" borderId="2" xfId="0" applyFont="1" applyFill="1" applyBorder="1" applyAlignment="1" applyProtection="1">
      <alignment horizontal="centerContinuous" vertical="center"/>
      <protection hidden="1"/>
    </xf>
    <xf numFmtId="9" fontId="83" fillId="21" borderId="7" xfId="0" applyNumberFormat="1" applyFont="1" applyFill="1" applyBorder="1" applyAlignment="1" applyProtection="1">
      <alignment horizontal="right" vertical="center"/>
      <protection locked="0" hidden="1"/>
    </xf>
    <xf numFmtId="0" fontId="86" fillId="4" borderId="6" xfId="0" applyFont="1" applyFill="1" applyBorder="1" applyAlignment="1" applyProtection="1">
      <alignment vertical="center"/>
      <protection hidden="1"/>
    </xf>
    <xf numFmtId="0" fontId="0" fillId="4" borderId="5" xfId="0" applyFill="1" applyBorder="1" applyAlignment="1" applyProtection="1">
      <alignment vertical="center"/>
      <protection hidden="1"/>
    </xf>
    <xf numFmtId="0" fontId="83" fillId="4" borderId="5" xfId="0" applyFont="1" applyFill="1" applyBorder="1" applyAlignment="1" applyProtection="1">
      <alignment vertical="center"/>
      <protection hidden="1"/>
    </xf>
    <xf numFmtId="0" fontId="83" fillId="4" borderId="2" xfId="0" applyFont="1" applyFill="1" applyBorder="1" applyAlignment="1" applyProtection="1">
      <alignment vertical="center"/>
      <protection hidden="1"/>
    </xf>
    <xf numFmtId="10" fontId="83" fillId="21" borderId="7" xfId="0" applyNumberFormat="1" applyFont="1" applyFill="1" applyBorder="1" applyAlignment="1" applyProtection="1">
      <alignment horizontal="right" vertical="center"/>
      <protection locked="0" hidden="1"/>
    </xf>
    <xf numFmtId="8" fontId="20" fillId="4" borderId="37" xfId="0" applyNumberFormat="1" applyFont="1" applyFill="1" applyBorder="1" applyAlignment="1" applyProtection="1">
      <alignment vertical="center"/>
      <protection hidden="1"/>
    </xf>
    <xf numFmtId="0" fontId="91" fillId="4" borderId="6" xfId="0" applyFont="1" applyFill="1" applyBorder="1" applyAlignment="1" applyProtection="1">
      <alignment vertical="center"/>
      <protection hidden="1"/>
    </xf>
    <xf numFmtId="0" fontId="91" fillId="4" borderId="36" xfId="0" applyFont="1" applyFill="1" applyBorder="1" applyAlignment="1" applyProtection="1">
      <alignment vertical="center"/>
      <protection hidden="1"/>
    </xf>
    <xf numFmtId="0" fontId="92" fillId="4" borderId="37" xfId="0" applyFont="1" applyFill="1" applyBorder="1" applyAlignment="1" applyProtection="1">
      <alignment vertical="center"/>
      <protection hidden="1"/>
    </xf>
    <xf numFmtId="0" fontId="50" fillId="4" borderId="0" xfId="0" applyFont="1" applyFill="1" applyAlignment="1" applyProtection="1">
      <alignment horizontal="center" vertical="center"/>
      <protection hidden="1"/>
    </xf>
    <xf numFmtId="0" fontId="50" fillId="4" borderId="0" xfId="0" applyFont="1" applyFill="1" applyAlignment="1" applyProtection="1">
      <alignment horizontal="right" vertical="center"/>
      <protection hidden="1"/>
    </xf>
    <xf numFmtId="164" fontId="0" fillId="4" borderId="0" xfId="0" applyNumberFormat="1" applyFill="1" applyProtection="1">
      <protection hidden="1"/>
    </xf>
    <xf numFmtId="0" fontId="7" fillId="4" borderId="0" xfId="0" applyFont="1" applyFill="1" applyAlignment="1" applyProtection="1">
      <alignment horizontal="center"/>
      <protection hidden="1"/>
    </xf>
    <xf numFmtId="166" fontId="7" fillId="4" borderId="0" xfId="0" applyNumberFormat="1" applyFont="1" applyFill="1" applyProtection="1">
      <protection hidden="1"/>
    </xf>
    <xf numFmtId="166" fontId="7" fillId="4" borderId="0" xfId="1" applyNumberFormat="1" applyFont="1" applyFill="1" applyProtection="1">
      <protection hidden="1"/>
    </xf>
    <xf numFmtId="165" fontId="7" fillId="4" borderId="0" xfId="0" applyNumberFormat="1" applyFont="1" applyFill="1" applyProtection="1">
      <protection hidden="1"/>
    </xf>
    <xf numFmtId="0" fontId="83" fillId="4" borderId="5" xfId="0" applyFont="1" applyFill="1" applyBorder="1" applyAlignment="1" applyProtection="1">
      <alignment wrapText="1"/>
      <protection hidden="1"/>
    </xf>
    <xf numFmtId="0" fontId="0" fillId="4" borderId="2" xfId="0" applyFill="1" applyBorder="1" applyAlignment="1" applyProtection="1">
      <alignment vertical="center"/>
      <protection hidden="1"/>
    </xf>
    <xf numFmtId="0" fontId="84" fillId="4" borderId="6" xfId="0" applyFont="1" applyFill="1" applyBorder="1" applyAlignment="1" applyProtection="1">
      <alignment vertical="center"/>
      <protection hidden="1"/>
    </xf>
    <xf numFmtId="0" fontId="92" fillId="4" borderId="3" xfId="0" applyFont="1" applyFill="1" applyBorder="1" applyAlignment="1" applyProtection="1">
      <alignment vertical="center"/>
      <protection hidden="1"/>
    </xf>
    <xf numFmtId="0" fontId="93" fillId="4" borderId="5" xfId="0" applyFont="1" applyFill="1" applyBorder="1" applyAlignment="1" applyProtection="1">
      <alignment horizontal="center" vertical="center"/>
      <protection hidden="1"/>
    </xf>
    <xf numFmtId="0" fontId="84" fillId="4" borderId="5" xfId="0" applyFont="1" applyFill="1" applyBorder="1" applyAlignment="1" applyProtection="1">
      <alignment horizontal="left" vertical="center"/>
      <protection hidden="1"/>
    </xf>
    <xf numFmtId="0" fontId="94" fillId="4" borderId="0" xfId="0" applyFont="1" applyFill="1" applyAlignment="1" applyProtection="1">
      <alignment horizontal="center" vertical="center"/>
      <protection hidden="1"/>
    </xf>
    <xf numFmtId="0" fontId="21" fillId="4" borderId="0" xfId="11" applyFill="1" applyAlignment="1">
      <alignment vertical="center"/>
    </xf>
    <xf numFmtId="0" fontId="21" fillId="4" borderId="0" xfId="11" applyFill="1"/>
    <xf numFmtId="4" fontId="21" fillId="4" borderId="0" xfId="11" applyNumberFormat="1" applyFill="1"/>
    <xf numFmtId="0" fontId="56" fillId="23" borderId="82" xfId="18" applyFont="1" applyFill="1" applyBorder="1" applyAlignment="1">
      <alignment vertical="center"/>
    </xf>
    <xf numFmtId="0" fontId="56" fillId="23" borderId="1" xfId="18" applyFont="1" applyFill="1" applyBorder="1" applyAlignment="1">
      <alignment vertical="center"/>
    </xf>
    <xf numFmtId="0" fontId="0" fillId="4" borderId="0" xfId="11" applyFont="1" applyFill="1" applyAlignment="1">
      <alignment vertical="center"/>
    </xf>
    <xf numFmtId="0" fontId="71" fillId="29" borderId="7" xfId="18" applyFont="1" applyFill="1" applyBorder="1" applyAlignment="1">
      <alignment vertical="center"/>
    </xf>
    <xf numFmtId="171" fontId="95" fillId="24" borderId="7" xfId="18" applyNumberFormat="1" applyFont="1" applyFill="1" applyBorder="1" applyAlignment="1" applyProtection="1">
      <alignment horizontal="right" vertical="center"/>
      <protection locked="0"/>
    </xf>
    <xf numFmtId="0" fontId="71" fillId="23" borderId="0" xfId="18" applyFont="1" applyFill="1" applyAlignment="1">
      <alignment vertical="center" wrapText="1"/>
    </xf>
    <xf numFmtId="0" fontId="96" fillId="4" borderId="23" xfId="11" applyFont="1" applyFill="1" applyBorder="1" applyAlignment="1" applyProtection="1">
      <alignment vertical="center"/>
      <protection hidden="1"/>
    </xf>
    <xf numFmtId="0" fontId="21" fillId="0" borderId="22" xfId="11" applyBorder="1" applyAlignment="1">
      <alignment vertical="center"/>
    </xf>
    <xf numFmtId="10" fontId="71" fillId="24" borderId="7" xfId="18" applyNumberFormat="1" applyFont="1" applyFill="1" applyBorder="1" applyAlignment="1" applyProtection="1">
      <alignment horizontal="right" vertical="center"/>
      <protection locked="0"/>
    </xf>
    <xf numFmtId="0" fontId="22" fillId="4" borderId="25" xfId="11" applyFont="1" applyFill="1" applyBorder="1" applyAlignment="1">
      <alignment vertical="center"/>
    </xf>
    <xf numFmtId="171" fontId="25" fillId="23" borderId="24" xfId="18" applyNumberFormat="1" applyFont="1" applyFill="1" applyBorder="1" applyAlignment="1" applyProtection="1">
      <alignment horizontal="right" vertical="center" shrinkToFit="1"/>
      <protection hidden="1"/>
    </xf>
    <xf numFmtId="0" fontId="71" fillId="24" borderId="7" xfId="18" applyFont="1" applyFill="1" applyBorder="1" applyAlignment="1" applyProtection="1">
      <alignment horizontal="right" vertical="center"/>
      <protection locked="0"/>
    </xf>
    <xf numFmtId="1" fontId="22" fillId="4" borderId="24" xfId="11" applyNumberFormat="1" applyFont="1" applyFill="1" applyBorder="1" applyAlignment="1" applyProtection="1">
      <alignment vertical="center"/>
      <protection hidden="1"/>
    </xf>
    <xf numFmtId="0" fontId="74" fillId="29" borderId="7" xfId="18" applyFont="1" applyFill="1" applyBorder="1" applyAlignment="1">
      <alignment vertical="center"/>
    </xf>
    <xf numFmtId="171" fontId="39" fillId="23" borderId="7" xfId="18" applyNumberFormat="1" applyFont="1" applyFill="1" applyBorder="1" applyAlignment="1" applyProtection="1">
      <alignment horizontal="right" vertical="center" shrinkToFit="1"/>
      <protection hidden="1"/>
    </xf>
    <xf numFmtId="0" fontId="22" fillId="4" borderId="100" xfId="11" applyFont="1" applyFill="1" applyBorder="1" applyAlignment="1">
      <alignment vertical="center"/>
    </xf>
    <xf numFmtId="0" fontId="78" fillId="23" borderId="74" xfId="18" applyFont="1" applyFill="1" applyBorder="1" applyAlignment="1">
      <alignment vertical="center" wrapText="1"/>
    </xf>
    <xf numFmtId="0" fontId="97" fillId="23" borderId="1" xfId="18" applyFont="1" applyFill="1" applyBorder="1" applyAlignment="1" applyProtection="1">
      <alignment vertical="center"/>
      <protection hidden="1"/>
    </xf>
    <xf numFmtId="0" fontId="21" fillId="4" borderId="0" xfId="11" applyFill="1" applyAlignment="1">
      <alignment horizontal="right" vertical="center"/>
    </xf>
    <xf numFmtId="0" fontId="76" fillId="23" borderId="1" xfId="18" applyFont="1" applyFill="1" applyBorder="1" applyAlignment="1">
      <alignment horizontal="right" vertical="center"/>
    </xf>
    <xf numFmtId="0" fontId="77" fillId="23" borderId="82" xfId="18" applyFont="1" applyFill="1" applyBorder="1" applyAlignment="1">
      <alignment vertical="center"/>
    </xf>
    <xf numFmtId="0" fontId="71" fillId="24" borderId="2" xfId="18" applyFont="1" applyFill="1" applyBorder="1" applyAlignment="1" applyProtection="1">
      <alignment horizontal="right" vertical="center"/>
      <protection locked="0"/>
    </xf>
    <xf numFmtId="0" fontId="77" fillId="23" borderId="1" xfId="18" applyFont="1" applyFill="1" applyBorder="1" applyAlignment="1">
      <alignment vertical="center"/>
    </xf>
    <xf numFmtId="0" fontId="25" fillId="30" borderId="7" xfId="11" applyFont="1" applyFill="1" applyBorder="1" applyAlignment="1" applyProtection="1">
      <alignment vertical="center"/>
      <protection hidden="1"/>
    </xf>
    <xf numFmtId="171" fontId="25" fillId="23" borderId="7" xfId="18" applyNumberFormat="1" applyFont="1" applyFill="1" applyBorder="1" applyAlignment="1" applyProtection="1">
      <alignment horizontal="right" vertical="center" shrinkToFit="1"/>
      <protection hidden="1"/>
    </xf>
    <xf numFmtId="0" fontId="21" fillId="4" borderId="22" xfId="11" applyFill="1" applyBorder="1" applyAlignment="1">
      <alignment vertical="center"/>
    </xf>
    <xf numFmtId="3" fontId="71" fillId="24" borderId="2" xfId="18" applyNumberFormat="1" applyFont="1" applyFill="1" applyBorder="1" applyAlignment="1" applyProtection="1">
      <alignment horizontal="right" vertical="center"/>
      <protection locked="0"/>
    </xf>
    <xf numFmtId="0" fontId="78" fillId="23" borderId="0" xfId="18" applyFont="1" applyFill="1" applyAlignment="1">
      <alignment horizontal="left" vertical="center"/>
    </xf>
    <xf numFmtId="0" fontId="78" fillId="29" borderId="7" xfId="18" applyFont="1" applyFill="1" applyBorder="1" applyAlignment="1">
      <alignment vertical="center"/>
    </xf>
    <xf numFmtId="0" fontId="78" fillId="23" borderId="7" xfId="18" applyFont="1" applyFill="1" applyBorder="1" applyAlignment="1" applyProtection="1">
      <alignment horizontal="right" vertical="center"/>
      <protection hidden="1"/>
    </xf>
    <xf numFmtId="0" fontId="78" fillId="23" borderId="0" xfId="18" applyFont="1" applyFill="1" applyAlignment="1">
      <alignment vertical="center"/>
    </xf>
    <xf numFmtId="0" fontId="32" fillId="10" borderId="101" xfId="11" applyFont="1" applyFill="1" applyBorder="1" applyAlignment="1">
      <alignment vertical="center"/>
    </xf>
    <xf numFmtId="171" fontId="32" fillId="10" borderId="102" xfId="11" applyNumberFormat="1" applyFont="1" applyFill="1" applyBorder="1" applyAlignment="1" applyProtection="1">
      <alignment vertical="center" shrinkToFit="1"/>
      <protection hidden="1"/>
    </xf>
    <xf numFmtId="171" fontId="60" fillId="23" borderId="7" xfId="18" applyNumberFormat="1" applyFont="1" applyFill="1" applyBorder="1" applyAlignment="1" applyProtection="1">
      <alignment horizontal="right" vertical="center" shrinkToFit="1"/>
      <protection hidden="1"/>
    </xf>
    <xf numFmtId="0" fontId="98" fillId="29" borderId="7" xfId="18" applyFont="1" applyFill="1" applyBorder="1" applyAlignment="1">
      <alignment vertical="center"/>
    </xf>
    <xf numFmtId="10" fontId="71" fillId="24" borderId="2" xfId="18" applyNumberFormat="1" applyFont="1" applyFill="1" applyBorder="1" applyAlignment="1" applyProtection="1">
      <alignment horizontal="right" vertical="center"/>
      <protection locked="0"/>
    </xf>
    <xf numFmtId="0" fontId="32" fillId="10" borderId="15" xfId="11" applyFont="1" applyFill="1" applyBorder="1" applyAlignment="1">
      <alignment vertical="center"/>
    </xf>
    <xf numFmtId="0" fontId="32" fillId="10" borderId="60" xfId="11" applyFont="1" applyFill="1" applyBorder="1" applyAlignment="1" applyProtection="1">
      <alignment horizontal="right" vertical="center"/>
      <protection hidden="1"/>
    </xf>
    <xf numFmtId="0" fontId="21" fillId="4" borderId="37" xfId="11" applyFill="1" applyBorder="1"/>
    <xf numFmtId="0" fontId="78" fillId="23" borderId="37" xfId="18" applyFont="1" applyFill="1" applyBorder="1" applyAlignment="1">
      <alignment vertical="center" wrapText="1"/>
    </xf>
    <xf numFmtId="0" fontId="78" fillId="23" borderId="6" xfId="18" applyFont="1" applyFill="1" applyBorder="1" applyAlignment="1">
      <alignment vertical="center"/>
    </xf>
    <xf numFmtId="0" fontId="78" fillId="23" borderId="2" xfId="18" applyFont="1" applyFill="1" applyBorder="1" applyAlignment="1">
      <alignment vertical="center"/>
    </xf>
    <xf numFmtId="0" fontId="55" fillId="31" borderId="4" xfId="18" applyFont="1" applyFill="1" applyBorder="1" applyAlignment="1" applyProtection="1">
      <alignment horizontal="center"/>
      <protection locked="0"/>
    </xf>
    <xf numFmtId="171" fontId="25" fillId="23" borderId="7" xfId="18" applyNumberFormat="1" applyFont="1" applyFill="1" applyBorder="1" applyAlignment="1" applyProtection="1">
      <alignment horizontal="center" shrinkToFit="1"/>
      <protection hidden="1"/>
    </xf>
    <xf numFmtId="3" fontId="22" fillId="4" borderId="0" xfId="11" applyNumberFormat="1" applyFont="1" applyFill="1" applyAlignment="1" applyProtection="1">
      <alignment horizontal="center"/>
      <protection hidden="1"/>
    </xf>
    <xf numFmtId="0" fontId="79" fillId="32" borderId="7" xfId="18" applyFont="1" applyFill="1" applyBorder="1"/>
    <xf numFmtId="1" fontId="78" fillId="32" borderId="7" xfId="18" applyNumberFormat="1" applyFont="1" applyFill="1" applyBorder="1" applyAlignment="1" applyProtection="1">
      <alignment horizontal="center" shrinkToFit="1"/>
      <protection hidden="1"/>
    </xf>
    <xf numFmtId="9" fontId="71" fillId="24" borderId="7" xfId="18" applyNumberFormat="1" applyFont="1" applyFill="1" applyBorder="1" applyAlignment="1" applyProtection="1">
      <alignment horizontal="center"/>
      <protection locked="0"/>
    </xf>
    <xf numFmtId="0" fontId="22" fillId="33" borderId="7" xfId="11" applyFont="1" applyFill="1" applyBorder="1"/>
    <xf numFmtId="171" fontId="25" fillId="32" borderId="7" xfId="18" applyNumberFormat="1" applyFont="1" applyFill="1" applyBorder="1" applyAlignment="1" applyProtection="1">
      <alignment horizontal="center" shrinkToFit="1"/>
      <protection hidden="1"/>
    </xf>
    <xf numFmtId="0" fontId="79" fillId="23" borderId="7" xfId="18" applyFont="1" applyFill="1" applyBorder="1" applyAlignment="1" applyProtection="1">
      <alignment shrinkToFit="1"/>
      <protection hidden="1"/>
    </xf>
    <xf numFmtId="171" fontId="39" fillId="23" borderId="7" xfId="18" applyNumberFormat="1" applyFont="1" applyFill="1" applyBorder="1" applyAlignment="1" applyProtection="1">
      <alignment horizontal="center" shrinkToFit="1"/>
      <protection hidden="1"/>
    </xf>
    <xf numFmtId="0" fontId="22" fillId="4" borderId="7" xfId="11" applyFont="1" applyFill="1" applyBorder="1"/>
    <xf numFmtId="171" fontId="25" fillId="23" borderId="7" xfId="18" applyNumberFormat="1" applyFont="1" applyFill="1" applyBorder="1" applyAlignment="1" applyProtection="1">
      <alignment horizontal="center"/>
      <protection hidden="1"/>
    </xf>
    <xf numFmtId="0" fontId="78" fillId="32" borderId="7" xfId="18" applyFont="1" applyFill="1" applyBorder="1" applyAlignment="1" applyProtection="1">
      <alignment horizontal="center" shrinkToFit="1"/>
      <protection hidden="1"/>
    </xf>
    <xf numFmtId="0" fontId="99" fillId="23" borderId="18" xfId="18" applyFont="1" applyFill="1" applyBorder="1" applyAlignment="1">
      <alignment vertical="top"/>
    </xf>
    <xf numFmtId="0" fontId="100" fillId="4" borderId="7" xfId="11" applyFont="1" applyFill="1" applyBorder="1" applyAlignment="1">
      <alignment horizontal="right"/>
    </xf>
    <xf numFmtId="8" fontId="100" fillId="4" borderId="7" xfId="11" applyNumberFormat="1" applyFont="1" applyFill="1" applyBorder="1" applyAlignment="1">
      <alignment horizontal="right"/>
    </xf>
    <xf numFmtId="0" fontId="100" fillId="4" borderId="6" xfId="11" applyFont="1" applyFill="1" applyBorder="1" applyAlignment="1">
      <alignment horizontal="right"/>
    </xf>
    <xf numFmtId="0" fontId="100" fillId="4" borderId="4" xfId="11" applyFont="1" applyFill="1" applyBorder="1" applyAlignment="1">
      <alignment horizontal="right"/>
    </xf>
    <xf numFmtId="0" fontId="100" fillId="4" borderId="2" xfId="11" applyFont="1" applyFill="1" applyBorder="1" applyAlignment="1">
      <alignment horizontal="right"/>
    </xf>
    <xf numFmtId="0" fontId="21" fillId="4" borderId="0" xfId="11" applyFill="1" applyProtection="1">
      <protection hidden="1"/>
    </xf>
    <xf numFmtId="0" fontId="53" fillId="4" borderId="21" xfId="11" applyFont="1" applyFill="1" applyBorder="1" applyAlignment="1">
      <alignment horizontal="right"/>
    </xf>
    <xf numFmtId="171" fontId="21" fillId="4" borderId="0" xfId="11" applyNumberFormat="1" applyFill="1" applyProtection="1">
      <protection hidden="1"/>
    </xf>
    <xf numFmtId="172" fontId="21" fillId="4" borderId="0" xfId="11" applyNumberFormat="1" applyFill="1" applyProtection="1">
      <protection hidden="1"/>
    </xf>
    <xf numFmtId="6" fontId="21" fillId="4" borderId="0" xfId="11" applyNumberFormat="1" applyFill="1" applyProtection="1">
      <protection hidden="1"/>
    </xf>
    <xf numFmtId="172" fontId="21" fillId="4" borderId="0" xfId="11" applyNumberFormat="1" applyFill="1"/>
    <xf numFmtId="171" fontId="21" fillId="4" borderId="0" xfId="11" applyNumberFormat="1" applyFill="1" applyAlignment="1" applyProtection="1">
      <alignment vertical="center"/>
      <protection hidden="1"/>
    </xf>
    <xf numFmtId="172" fontId="21" fillId="4" borderId="0" xfId="11" applyNumberFormat="1" applyFill="1" applyAlignment="1" applyProtection="1">
      <alignment vertical="center"/>
      <protection hidden="1"/>
    </xf>
    <xf numFmtId="6" fontId="21" fillId="4" borderId="0" xfId="11" applyNumberFormat="1" applyFill="1" applyAlignment="1" applyProtection="1">
      <alignment vertical="center"/>
      <protection hidden="1"/>
    </xf>
    <xf numFmtId="172" fontId="21" fillId="4" borderId="0" xfId="11" applyNumberFormat="1" applyFill="1" applyAlignment="1">
      <alignment vertical="center"/>
    </xf>
    <xf numFmtId="4" fontId="100" fillId="4" borderId="7" xfId="11" applyNumberFormat="1" applyFont="1" applyFill="1" applyBorder="1" applyAlignment="1">
      <alignment horizontal="right"/>
    </xf>
    <xf numFmtId="0" fontId="0" fillId="4" borderId="7" xfId="11" applyFont="1" applyFill="1" applyBorder="1" applyAlignment="1">
      <alignment horizontal="center"/>
    </xf>
    <xf numFmtId="3" fontId="21" fillId="4" borderId="0" xfId="11" applyNumberFormat="1" applyFill="1" applyProtection="1">
      <protection hidden="1"/>
    </xf>
    <xf numFmtId="171" fontId="21" fillId="4" borderId="0" xfId="11" applyNumberFormat="1" applyFill="1"/>
    <xf numFmtId="3" fontId="21" fillId="4" borderId="0" xfId="11" applyNumberFormat="1" applyFill="1" applyAlignment="1" applyProtection="1">
      <alignment vertical="center"/>
      <protection hidden="1"/>
    </xf>
    <xf numFmtId="171" fontId="21" fillId="4" borderId="0" xfId="11" applyNumberFormat="1" applyFill="1" applyAlignment="1">
      <alignment vertical="center"/>
    </xf>
    <xf numFmtId="6" fontId="21" fillId="4" borderId="0" xfId="11" applyNumberFormat="1" applyFill="1"/>
    <xf numFmtId="0" fontId="21" fillId="4" borderId="0" xfId="6" applyFill="1" applyAlignment="1" applyProtection="1">
      <alignment vertical="center"/>
      <protection hidden="1"/>
    </xf>
    <xf numFmtId="0" fontId="21" fillId="4" borderId="0" xfId="6" applyFill="1" applyProtection="1">
      <protection hidden="1"/>
    </xf>
    <xf numFmtId="0" fontId="21" fillId="4" borderId="0" xfId="6" applyFill="1" applyBorder="1" applyProtection="1">
      <protection hidden="1"/>
    </xf>
    <xf numFmtId="0" fontId="21" fillId="4" borderId="18" xfId="6" applyFill="1" applyBorder="1" applyProtection="1">
      <protection hidden="1"/>
    </xf>
    <xf numFmtId="0" fontId="21" fillId="4" borderId="0" xfId="6" applyFill="1" applyBorder="1" applyAlignment="1" applyProtection="1">
      <alignment vertical="center"/>
      <protection hidden="1"/>
    </xf>
    <xf numFmtId="0" fontId="101" fillId="4" borderId="6" xfId="6" applyFont="1" applyFill="1" applyBorder="1" applyAlignment="1" applyProtection="1">
      <alignment vertical="center"/>
      <protection hidden="1"/>
    </xf>
    <xf numFmtId="0" fontId="102" fillId="4" borderId="2" xfId="6" applyFont="1" applyFill="1" applyBorder="1" applyAlignment="1" applyProtection="1">
      <alignment vertical="center"/>
      <protection hidden="1"/>
    </xf>
    <xf numFmtId="171" fontId="101" fillId="21" borderId="7" xfId="12" applyNumberFormat="1" applyFont="1" applyFill="1" applyBorder="1" applyAlignment="1" applyProtection="1">
      <alignment vertical="center"/>
      <protection locked="0" hidden="1"/>
    </xf>
    <xf numFmtId="0" fontId="101" fillId="4" borderId="7" xfId="6" applyFont="1" applyFill="1" applyBorder="1" applyAlignment="1" applyProtection="1">
      <alignment horizontal="center" vertical="center"/>
      <protection hidden="1"/>
    </xf>
    <xf numFmtId="9" fontId="101" fillId="21" borderId="7" xfId="6" applyNumberFormat="1" applyFont="1" applyFill="1" applyBorder="1" applyAlignment="1" applyProtection="1">
      <alignment vertical="center"/>
      <protection locked="0" hidden="1"/>
    </xf>
    <xf numFmtId="0" fontId="101" fillId="4" borderId="35" xfId="6" applyFont="1" applyFill="1" applyBorder="1" applyAlignment="1" applyProtection="1">
      <alignment vertical="center"/>
      <protection hidden="1"/>
    </xf>
    <xf numFmtId="0" fontId="102" fillId="4" borderId="14" xfId="6" applyFont="1" applyFill="1" applyBorder="1" applyAlignment="1" applyProtection="1">
      <alignment vertical="center"/>
      <protection hidden="1"/>
    </xf>
    <xf numFmtId="165" fontId="101" fillId="21" borderId="4" xfId="12" applyNumberFormat="1" applyFont="1" applyFill="1" applyBorder="1" applyAlignment="1" applyProtection="1">
      <alignment vertical="center"/>
      <protection locked="0" hidden="1"/>
    </xf>
    <xf numFmtId="0" fontId="103" fillId="4" borderId="4" xfId="6" applyFont="1" applyFill="1" applyBorder="1" applyAlignment="1" applyProtection="1">
      <alignment horizontal="center" vertical="center"/>
      <protection hidden="1"/>
    </xf>
    <xf numFmtId="171" fontId="104" fillId="4" borderId="7" xfId="6" applyNumberFormat="1" applyFont="1" applyFill="1" applyBorder="1" applyAlignment="1" applyProtection="1">
      <alignment vertical="center"/>
      <protection hidden="1"/>
    </xf>
    <xf numFmtId="10" fontId="101" fillId="21" borderId="7" xfId="6" applyNumberFormat="1" applyFont="1" applyFill="1" applyBorder="1" applyAlignment="1" applyProtection="1">
      <alignment vertical="center"/>
      <protection locked="0" hidden="1"/>
    </xf>
    <xf numFmtId="8" fontId="20" fillId="4" borderId="37" xfId="0" applyNumberFormat="1" applyFont="1" applyFill="1" applyBorder="1" applyProtection="1">
      <protection hidden="1"/>
    </xf>
    <xf numFmtId="8" fontId="0" fillId="4" borderId="37" xfId="0" applyNumberFormat="1" applyFill="1" applyBorder="1" applyProtection="1">
      <protection hidden="1"/>
    </xf>
    <xf numFmtId="0" fontId="0" fillId="4" borderId="37" xfId="0" applyFill="1" applyBorder="1" applyProtection="1">
      <protection hidden="1"/>
    </xf>
    <xf numFmtId="0" fontId="0" fillId="0" borderId="82" xfId="0" applyBorder="1"/>
    <xf numFmtId="0" fontId="105" fillId="4" borderId="7" xfId="6" applyFont="1" applyFill="1" applyBorder="1" applyAlignment="1" applyProtection="1">
      <alignment horizontal="center"/>
      <protection hidden="1"/>
    </xf>
    <xf numFmtId="171" fontId="106" fillId="30" borderId="7" xfId="6" applyNumberFormat="1" applyFont="1" applyFill="1" applyBorder="1" applyAlignment="1" applyProtection="1">
      <alignment horizontal="center" vertical="center"/>
      <protection hidden="1"/>
    </xf>
    <xf numFmtId="10" fontId="106" fillId="34" borderId="6" xfId="6" applyNumberFormat="1" applyFont="1" applyFill="1" applyBorder="1" applyAlignment="1" applyProtection="1">
      <alignment horizontal="center" vertical="center"/>
      <protection hidden="1"/>
    </xf>
    <xf numFmtId="171" fontId="101" fillId="34" borderId="7" xfId="6" applyNumberFormat="1" applyFont="1" applyFill="1" applyBorder="1" applyProtection="1">
      <protection hidden="1"/>
    </xf>
    <xf numFmtId="10" fontId="106" fillId="27" borderId="7" xfId="6" applyNumberFormat="1" applyFont="1" applyFill="1" applyBorder="1" applyAlignment="1" applyProtection="1">
      <alignment horizontal="center" vertical="center"/>
      <protection hidden="1"/>
    </xf>
    <xf numFmtId="171" fontId="101" fillId="27" borderId="7" xfId="6" applyNumberFormat="1" applyFont="1" applyFill="1" applyBorder="1" applyProtection="1">
      <protection hidden="1"/>
    </xf>
    <xf numFmtId="10" fontId="106" fillId="35" borderId="7" xfId="6" applyNumberFormat="1" applyFont="1" applyFill="1" applyBorder="1" applyAlignment="1" applyProtection="1">
      <alignment horizontal="center" vertical="center"/>
      <protection hidden="1"/>
    </xf>
    <xf numFmtId="171" fontId="101" fillId="35" borderId="7" xfId="6" applyNumberFormat="1" applyFont="1" applyFill="1" applyBorder="1" applyProtection="1">
      <protection hidden="1"/>
    </xf>
    <xf numFmtId="9" fontId="106" fillId="30" borderId="7" xfId="6" applyNumberFormat="1" applyFont="1" applyFill="1" applyBorder="1" applyAlignment="1" applyProtection="1">
      <alignment horizontal="center" vertical="center"/>
      <protection hidden="1"/>
    </xf>
    <xf numFmtId="171" fontId="101" fillId="4" borderId="7" xfId="6" applyNumberFormat="1" applyFont="1" applyFill="1" applyBorder="1" applyProtection="1">
      <protection hidden="1"/>
    </xf>
    <xf numFmtId="0" fontId="101" fillId="4" borderId="5" xfId="6" applyFont="1" applyFill="1" applyBorder="1" applyAlignment="1" applyProtection="1">
      <alignment vertical="center"/>
      <protection hidden="1"/>
    </xf>
    <xf numFmtId="0" fontId="101" fillId="4" borderId="5" xfId="6" applyFont="1" applyFill="1" applyBorder="1" applyProtection="1">
      <protection hidden="1"/>
    </xf>
    <xf numFmtId="0" fontId="101" fillId="4" borderId="2" xfId="6" applyFont="1" applyFill="1" applyBorder="1" applyAlignment="1" applyProtection="1">
      <alignment vertical="center"/>
      <protection hidden="1"/>
    </xf>
    <xf numFmtId="171" fontId="101" fillId="4" borderId="5" xfId="6" applyNumberFormat="1" applyFont="1" applyFill="1" applyBorder="1" applyProtection="1">
      <protection hidden="1"/>
    </xf>
    <xf numFmtId="0" fontId="101" fillId="4" borderId="2" xfId="6" applyFont="1" applyFill="1" applyBorder="1" applyProtection="1">
      <protection hidden="1"/>
    </xf>
    <xf numFmtId="10" fontId="101" fillId="21" borderId="7" xfId="2" applyNumberFormat="1" applyFont="1" applyFill="1" applyBorder="1" applyAlignment="1" applyProtection="1">
      <alignment vertical="center"/>
      <protection locked="0" hidden="1"/>
    </xf>
    <xf numFmtId="0" fontId="107" fillId="4" borderId="6" xfId="6" applyFont="1" applyFill="1" applyBorder="1" applyAlignment="1" applyProtection="1">
      <alignment vertical="center"/>
      <protection hidden="1"/>
    </xf>
    <xf numFmtId="0" fontId="104" fillId="4" borderId="6" xfId="6" applyFont="1" applyFill="1" applyBorder="1" applyAlignment="1" applyProtection="1">
      <alignment vertical="center"/>
      <protection hidden="1"/>
    </xf>
    <xf numFmtId="0" fontId="101" fillId="4" borderId="37" xfId="6" applyFont="1" applyFill="1" applyBorder="1" applyProtection="1">
      <protection hidden="1"/>
    </xf>
    <xf numFmtId="10" fontId="21" fillId="4" borderId="2" xfId="2" applyNumberFormat="1" applyFont="1" applyFill="1" applyBorder="1" applyProtection="1">
      <protection hidden="1"/>
    </xf>
    <xf numFmtId="0" fontId="21" fillId="4" borderId="0" xfId="6" applyFont="1" applyFill="1" applyProtection="1">
      <protection hidden="1"/>
    </xf>
    <xf numFmtId="171" fontId="21" fillId="4" borderId="0" xfId="6" applyNumberFormat="1" applyFill="1" applyProtection="1">
      <protection hidden="1"/>
    </xf>
    <xf numFmtId="0" fontId="21" fillId="4" borderId="14" xfId="6" applyFill="1" applyBorder="1" applyProtection="1">
      <protection hidden="1"/>
    </xf>
    <xf numFmtId="0" fontId="21" fillId="4" borderId="1" xfId="6" applyFill="1" applyBorder="1" applyAlignment="1" applyProtection="1">
      <alignment vertical="center"/>
      <protection hidden="1"/>
    </xf>
    <xf numFmtId="10" fontId="21" fillId="4" borderId="3" xfId="2" applyNumberFormat="1" applyFont="1" applyFill="1" applyBorder="1" applyProtection="1">
      <protection hidden="1"/>
    </xf>
    <xf numFmtId="10" fontId="21" fillId="4" borderId="0" xfId="2" applyNumberFormat="1" applyFont="1" applyFill="1" applyProtection="1">
      <protection hidden="1"/>
    </xf>
    <xf numFmtId="0" fontId="21" fillId="4" borderId="35" xfId="6" applyFill="1" applyBorder="1" applyAlignment="1" applyProtection="1">
      <alignment vertical="center"/>
      <protection hidden="1"/>
    </xf>
    <xf numFmtId="0" fontId="23" fillId="5" borderId="18" xfId="6" applyFont="1" applyFill="1" applyBorder="1" applyAlignment="1" applyProtection="1">
      <alignment horizontal="centerContinuous" vertical="center"/>
      <protection hidden="1"/>
    </xf>
    <xf numFmtId="0" fontId="21" fillId="4" borderId="14" xfId="6" applyFill="1" applyBorder="1" applyAlignment="1" applyProtection="1">
      <alignment vertical="center"/>
      <protection hidden="1"/>
    </xf>
    <xf numFmtId="0" fontId="21" fillId="4" borderId="82" xfId="6" applyFill="1" applyBorder="1" applyAlignment="1" applyProtection="1">
      <alignment vertical="center"/>
      <protection hidden="1"/>
    </xf>
    <xf numFmtId="165" fontId="101" fillId="21" borderId="7" xfId="12" applyNumberFormat="1" applyFont="1" applyFill="1" applyBorder="1" applyAlignment="1" applyProtection="1">
      <alignment vertical="center"/>
      <protection locked="0" hidden="1"/>
    </xf>
    <xf numFmtId="0" fontId="103" fillId="4" borderId="6" xfId="6" applyFont="1" applyFill="1" applyBorder="1" applyAlignment="1" applyProtection="1">
      <alignment vertical="center"/>
      <protection hidden="1"/>
    </xf>
    <xf numFmtId="0" fontId="106" fillId="4" borderId="5" xfId="6" applyFont="1" applyFill="1" applyBorder="1" applyAlignment="1" applyProtection="1">
      <alignment vertical="center"/>
      <protection hidden="1"/>
    </xf>
    <xf numFmtId="0" fontId="106" fillId="4" borderId="2" xfId="6" applyFont="1" applyFill="1" applyBorder="1" applyAlignment="1" applyProtection="1">
      <alignment vertical="center"/>
      <protection hidden="1"/>
    </xf>
    <xf numFmtId="171" fontId="101" fillId="4" borderId="7" xfId="6" applyNumberFormat="1" applyFont="1" applyFill="1" applyBorder="1" applyAlignment="1" applyProtection="1">
      <alignment vertical="center"/>
      <protection hidden="1"/>
    </xf>
    <xf numFmtId="171" fontId="109" fillId="25" borderId="0" xfId="6" applyNumberFormat="1" applyFont="1" applyFill="1" applyAlignment="1" applyProtection="1">
      <alignment vertical="center"/>
      <protection hidden="1"/>
    </xf>
    <xf numFmtId="0" fontId="104" fillId="4" borderId="5" xfId="6" applyFont="1" applyFill="1" applyBorder="1" applyAlignment="1" applyProtection="1">
      <alignment vertical="center"/>
      <protection hidden="1"/>
    </xf>
    <xf numFmtId="171" fontId="104" fillId="4" borderId="0" xfId="6" applyNumberFormat="1" applyFont="1" applyFill="1" applyAlignment="1" applyProtection="1">
      <alignment vertical="center"/>
      <protection hidden="1"/>
    </xf>
    <xf numFmtId="0" fontId="103" fillId="4" borderId="36" xfId="6" applyFont="1" applyFill="1" applyBorder="1" applyAlignment="1" applyProtection="1">
      <alignment vertical="center"/>
      <protection hidden="1"/>
    </xf>
    <xf numFmtId="0" fontId="101" fillId="4" borderId="37" xfId="6" applyFont="1" applyFill="1" applyBorder="1" applyAlignment="1" applyProtection="1">
      <alignment vertical="center"/>
      <protection hidden="1"/>
    </xf>
    <xf numFmtId="0" fontId="101" fillId="4" borderId="3" xfId="6" applyFont="1" applyFill="1" applyBorder="1" applyAlignment="1" applyProtection="1">
      <alignment vertical="center"/>
      <protection hidden="1"/>
    </xf>
    <xf numFmtId="0" fontId="21" fillId="4" borderId="36" xfId="6" applyFill="1" applyBorder="1" applyAlignment="1" applyProtection="1">
      <alignment vertical="center"/>
      <protection hidden="1"/>
    </xf>
    <xf numFmtId="0" fontId="0" fillId="4" borderId="37" xfId="0" applyFill="1" applyBorder="1" applyAlignment="1" applyProtection="1">
      <alignment vertical="center"/>
      <protection hidden="1"/>
    </xf>
    <xf numFmtId="0" fontId="21" fillId="4" borderId="3" xfId="6" applyFill="1" applyBorder="1" applyAlignment="1" applyProtection="1">
      <alignment vertical="center"/>
      <protection hidden="1"/>
    </xf>
    <xf numFmtId="174" fontId="21" fillId="4" borderId="0" xfId="6" applyNumberFormat="1" applyFill="1" applyAlignment="1" applyProtection="1">
      <alignment vertical="center"/>
      <protection hidden="1"/>
    </xf>
    <xf numFmtId="0" fontId="21" fillId="4" borderId="0" xfId="6" applyFont="1" applyFill="1" applyAlignment="1" applyProtection="1">
      <alignment vertical="center"/>
      <protection hidden="1"/>
    </xf>
    <xf numFmtId="171" fontId="21" fillId="4" borderId="0" xfId="6" applyNumberFormat="1" applyFill="1" applyAlignment="1" applyProtection="1">
      <alignment vertical="center"/>
      <protection hidden="1"/>
    </xf>
    <xf numFmtId="0" fontId="21" fillId="4" borderId="35" xfId="6" applyFill="1" applyBorder="1" applyProtection="1">
      <protection hidden="1"/>
    </xf>
    <xf numFmtId="0" fontId="32" fillId="5" borderId="18" xfId="6" applyFont="1" applyFill="1" applyBorder="1" applyAlignment="1" applyProtection="1">
      <alignment horizontal="centerContinuous" vertical="center"/>
      <protection hidden="1"/>
    </xf>
    <xf numFmtId="165" fontId="101" fillId="21" borderId="2" xfId="12" applyNumberFormat="1" applyFont="1" applyFill="1" applyBorder="1" applyAlignment="1" applyProtection="1">
      <alignment vertical="center"/>
      <protection locked="0"/>
    </xf>
    <xf numFmtId="10" fontId="101" fillId="21" borderId="2" xfId="6" applyNumberFormat="1" applyFont="1" applyFill="1" applyBorder="1" applyAlignment="1" applyProtection="1">
      <alignment vertical="center"/>
      <protection locked="0"/>
    </xf>
    <xf numFmtId="0" fontId="21" fillId="4" borderId="82" xfId="6" applyFill="1" applyBorder="1" applyProtection="1">
      <protection hidden="1"/>
    </xf>
    <xf numFmtId="0" fontId="101" fillId="4" borderId="6" xfId="6" applyFont="1" applyFill="1" applyBorder="1" applyProtection="1">
      <protection hidden="1"/>
    </xf>
    <xf numFmtId="10" fontId="101" fillId="4" borderId="2" xfId="2" applyNumberFormat="1" applyFont="1" applyFill="1" applyBorder="1" applyAlignment="1" applyProtection="1">
      <alignment vertical="center"/>
      <protection hidden="1"/>
    </xf>
    <xf numFmtId="0" fontId="21" fillId="4" borderId="1" xfId="6" applyFill="1" applyBorder="1" applyProtection="1">
      <protection hidden="1"/>
    </xf>
    <xf numFmtId="10" fontId="101" fillId="21" borderId="2" xfId="2" applyNumberFormat="1" applyFont="1" applyFill="1" applyBorder="1" applyAlignment="1" applyProtection="1">
      <alignment vertical="center"/>
      <protection locked="0" hidden="1"/>
    </xf>
    <xf numFmtId="0" fontId="21" fillId="4" borderId="36" xfId="6" applyFill="1" applyBorder="1" applyProtection="1">
      <protection hidden="1"/>
    </xf>
    <xf numFmtId="0" fontId="21" fillId="4" borderId="37" xfId="6" applyFill="1" applyBorder="1" applyAlignment="1" applyProtection="1">
      <alignment vertical="center"/>
      <protection hidden="1"/>
    </xf>
    <xf numFmtId="0" fontId="21" fillId="4" borderId="3" xfId="6" applyFill="1" applyBorder="1" applyProtection="1">
      <protection hidden="1"/>
    </xf>
    <xf numFmtId="0" fontId="25" fillId="4" borderId="21" xfId="6" applyFont="1" applyFill="1" applyBorder="1" applyAlignment="1" applyProtection="1">
      <alignment horizontal="center" vertical="center"/>
      <protection hidden="1"/>
    </xf>
    <xf numFmtId="0" fontId="22" fillId="30" borderId="21" xfId="6" applyFont="1" applyFill="1" applyBorder="1" applyAlignment="1" applyProtection="1">
      <alignment horizontal="center" vertical="center"/>
      <protection hidden="1"/>
    </xf>
    <xf numFmtId="10" fontId="22" fillId="34" borderId="6" xfId="6" applyNumberFormat="1" applyFont="1" applyFill="1" applyBorder="1" applyAlignment="1" applyProtection="1">
      <alignment horizontal="center" vertical="center"/>
      <protection hidden="1"/>
    </xf>
    <xf numFmtId="171" fontId="21" fillId="34" borderId="7" xfId="6" applyNumberFormat="1" applyFill="1" applyBorder="1" applyAlignment="1" applyProtection="1">
      <alignment vertical="center"/>
      <protection hidden="1"/>
    </xf>
    <xf numFmtId="10" fontId="22" fillId="27" borderId="7" xfId="6" applyNumberFormat="1" applyFont="1" applyFill="1" applyBorder="1" applyAlignment="1" applyProtection="1">
      <alignment horizontal="center" vertical="center"/>
      <protection hidden="1"/>
    </xf>
    <xf numFmtId="171" fontId="21" fillId="27" borderId="2" xfId="6" applyNumberFormat="1" applyFill="1" applyBorder="1" applyAlignment="1" applyProtection="1">
      <alignment vertical="center"/>
      <protection hidden="1"/>
    </xf>
    <xf numFmtId="171" fontId="21" fillId="27" borderId="7" xfId="6" applyNumberFormat="1" applyFill="1" applyBorder="1" applyAlignment="1" applyProtection="1">
      <alignment vertical="center"/>
      <protection hidden="1"/>
    </xf>
    <xf numFmtId="10" fontId="22" fillId="35" borderId="7" xfId="6" applyNumberFormat="1" applyFont="1" applyFill="1" applyBorder="1" applyAlignment="1" applyProtection="1">
      <alignment horizontal="center" vertical="center"/>
      <protection hidden="1"/>
    </xf>
    <xf numFmtId="171" fontId="21" fillId="35" borderId="2" xfId="6" applyNumberFormat="1" applyFill="1" applyBorder="1" applyAlignment="1" applyProtection="1">
      <alignment vertical="center"/>
      <protection hidden="1"/>
    </xf>
    <xf numFmtId="171" fontId="21" fillId="35" borderId="7" xfId="6" applyNumberFormat="1" applyFill="1" applyBorder="1" applyAlignment="1" applyProtection="1">
      <alignment vertical="center"/>
      <protection hidden="1"/>
    </xf>
    <xf numFmtId="9" fontId="22" fillId="30" borderId="7" xfId="6" applyNumberFormat="1" applyFont="1" applyFill="1" applyBorder="1" applyAlignment="1" applyProtection="1">
      <alignment horizontal="center" vertical="center"/>
      <protection hidden="1"/>
    </xf>
    <xf numFmtId="171" fontId="21" fillId="4" borderId="2" xfId="6" applyNumberFormat="1" applyFill="1" applyBorder="1" applyAlignment="1" applyProtection="1">
      <alignment vertical="center"/>
      <protection hidden="1"/>
    </xf>
    <xf numFmtId="171" fontId="21" fillId="4" borderId="21" xfId="6" applyNumberFormat="1" applyFill="1" applyBorder="1" applyAlignment="1" applyProtection="1">
      <alignment vertical="center"/>
      <protection hidden="1"/>
    </xf>
    <xf numFmtId="171" fontId="21" fillId="4" borderId="7" xfId="6" applyNumberFormat="1" applyFill="1" applyBorder="1" applyAlignment="1" applyProtection="1">
      <alignment vertical="center"/>
      <protection hidden="1"/>
    </xf>
    <xf numFmtId="2" fontId="21" fillId="4" borderId="0" xfId="6" applyNumberFormat="1" applyFill="1" applyProtection="1">
      <protection hidden="1"/>
    </xf>
    <xf numFmtId="9" fontId="21" fillId="4" borderId="0" xfId="6" applyNumberFormat="1" applyFill="1" applyProtection="1">
      <protection hidden="1"/>
    </xf>
    <xf numFmtId="10" fontId="21" fillId="4" borderId="0" xfId="6" applyNumberFormat="1" applyFill="1" applyAlignment="1" applyProtection="1">
      <alignment vertical="center"/>
      <protection hidden="1"/>
    </xf>
    <xf numFmtId="10" fontId="21" fillId="4" borderId="0" xfId="6" applyNumberFormat="1" applyFill="1" applyProtection="1">
      <protection hidden="1"/>
    </xf>
    <xf numFmtId="0" fontId="0" fillId="30" borderId="0" xfId="8" applyFont="1" applyFill="1"/>
    <xf numFmtId="0" fontId="0" fillId="4" borderId="0" xfId="8" applyFont="1" applyFill="1"/>
    <xf numFmtId="0" fontId="0" fillId="9" borderId="0" xfId="8" applyFont="1" applyFill="1"/>
    <xf numFmtId="0" fontId="50" fillId="4" borderId="0" xfId="8" applyFont="1" applyFill="1" applyAlignment="1">
      <alignment horizontal="left"/>
    </xf>
    <xf numFmtId="0" fontId="50" fillId="4" borderId="0" xfId="8" applyFont="1" applyFill="1"/>
    <xf numFmtId="0" fontId="56" fillId="23" borderId="0" xfId="18" quotePrefix="1" applyFont="1" applyFill="1" applyAlignment="1">
      <alignment vertical="center" wrapText="1"/>
    </xf>
    <xf numFmtId="175" fontId="50" fillId="4" borderId="0" xfId="8" applyNumberFormat="1" applyFont="1" applyFill="1" applyAlignment="1">
      <alignment horizontal="left"/>
    </xf>
    <xf numFmtId="0" fontId="22" fillId="4" borderId="0" xfId="6" applyFont="1" applyFill="1" applyAlignment="1" applyProtection="1">
      <alignment horizontal="left" indent="6"/>
      <protection hidden="1"/>
    </xf>
    <xf numFmtId="0" fontId="108" fillId="4" borderId="35" xfId="6" applyFont="1" applyFill="1" applyBorder="1" applyAlignment="1" applyProtection="1">
      <alignment horizontal="center" vertical="center" wrapText="1"/>
      <protection hidden="1"/>
    </xf>
    <xf numFmtId="0" fontId="108" fillId="4" borderId="18" xfId="6" applyFont="1" applyFill="1" applyBorder="1" applyAlignment="1" applyProtection="1">
      <alignment horizontal="center" vertical="center" wrapText="1"/>
      <protection hidden="1"/>
    </xf>
    <xf numFmtId="0" fontId="108" fillId="4" borderId="14" xfId="6" applyFont="1" applyFill="1" applyBorder="1" applyAlignment="1" applyProtection="1">
      <alignment horizontal="center" vertical="center" wrapText="1"/>
      <protection hidden="1"/>
    </xf>
    <xf numFmtId="0" fontId="108" fillId="4" borderId="82" xfId="6" applyFont="1" applyFill="1" applyBorder="1" applyAlignment="1" applyProtection="1">
      <alignment horizontal="center" vertical="center" wrapText="1"/>
      <protection hidden="1"/>
    </xf>
    <xf numFmtId="0" fontId="108" fillId="4" borderId="0" xfId="6" applyFont="1" applyFill="1" applyAlignment="1" applyProtection="1">
      <alignment horizontal="center" vertical="center" wrapText="1"/>
      <protection hidden="1"/>
    </xf>
    <xf numFmtId="0" fontId="108" fillId="4" borderId="1" xfId="6" applyFont="1" applyFill="1" applyBorder="1" applyAlignment="1" applyProtection="1">
      <alignment horizontal="center" vertical="center" wrapText="1"/>
      <protection hidden="1"/>
    </xf>
    <xf numFmtId="0" fontId="108" fillId="4" borderId="36" xfId="6" applyFont="1" applyFill="1" applyBorder="1" applyAlignment="1" applyProtection="1">
      <alignment horizontal="center" vertical="center" wrapText="1"/>
      <protection hidden="1"/>
    </xf>
    <xf numFmtId="0" fontId="108" fillId="4" borderId="37" xfId="6" applyFont="1" applyFill="1" applyBorder="1" applyAlignment="1" applyProtection="1">
      <alignment horizontal="center" vertical="center" wrapText="1"/>
      <protection hidden="1"/>
    </xf>
    <xf numFmtId="0" fontId="108" fillId="4" borderId="3" xfId="6" applyFont="1" applyFill="1" applyBorder="1" applyAlignment="1" applyProtection="1">
      <alignment horizontal="center" vertical="center" wrapText="1"/>
      <protection hidden="1"/>
    </xf>
    <xf numFmtId="0" fontId="101" fillId="4" borderId="6" xfId="6" applyFont="1" applyFill="1" applyBorder="1" applyAlignment="1" applyProtection="1">
      <alignment horizontal="left" vertical="center" wrapText="1"/>
      <protection hidden="1"/>
    </xf>
    <xf numFmtId="0" fontId="101" fillId="4" borderId="5" xfId="6" applyFont="1" applyFill="1" applyBorder="1" applyAlignment="1" applyProtection="1">
      <alignment horizontal="left" vertical="center" wrapText="1"/>
      <protection hidden="1"/>
    </xf>
    <xf numFmtId="0" fontId="101" fillId="4" borderId="2" xfId="6" applyFont="1" applyFill="1" applyBorder="1" applyAlignment="1" applyProtection="1">
      <alignment horizontal="left" vertical="center" wrapText="1"/>
      <protection hidden="1"/>
    </xf>
    <xf numFmtId="0" fontId="22" fillId="4" borderId="0" xfId="6" applyFont="1" applyFill="1" applyAlignment="1" applyProtection="1">
      <alignment horizontal="center" vertical="center"/>
      <protection hidden="1"/>
    </xf>
    <xf numFmtId="0" fontId="110" fillId="4" borderId="35" xfId="6" applyFont="1" applyFill="1" applyBorder="1" applyAlignment="1" applyProtection="1">
      <alignment horizontal="center" vertical="center" wrapText="1"/>
      <protection hidden="1"/>
    </xf>
    <xf numFmtId="0" fontId="110" fillId="4" borderId="18" xfId="6" applyFont="1" applyFill="1" applyBorder="1" applyAlignment="1" applyProtection="1">
      <alignment horizontal="center" vertical="center" wrapText="1"/>
      <protection hidden="1"/>
    </xf>
    <xf numFmtId="0" fontId="110" fillId="4" borderId="14" xfId="6" applyFont="1" applyFill="1" applyBorder="1" applyAlignment="1" applyProtection="1">
      <alignment horizontal="center" vertical="center" wrapText="1"/>
      <protection hidden="1"/>
    </xf>
    <xf numFmtId="0" fontId="110" fillId="4" borderId="82" xfId="6" applyFont="1" applyFill="1" applyBorder="1" applyAlignment="1" applyProtection="1">
      <alignment horizontal="center" vertical="center" wrapText="1"/>
      <protection hidden="1"/>
    </xf>
    <xf numFmtId="0" fontId="110" fillId="4" borderId="0" xfId="6" applyFont="1" applyFill="1" applyAlignment="1" applyProtection="1">
      <alignment horizontal="center" vertical="center" wrapText="1"/>
      <protection hidden="1"/>
    </xf>
    <xf numFmtId="0" fontId="110" fillId="4" borderId="1" xfId="6" applyFont="1" applyFill="1" applyBorder="1" applyAlignment="1" applyProtection="1">
      <alignment horizontal="center" vertical="center" wrapText="1"/>
      <protection hidden="1"/>
    </xf>
    <xf numFmtId="0" fontId="110" fillId="4" borderId="36" xfId="6" applyFont="1" applyFill="1" applyBorder="1" applyAlignment="1" applyProtection="1">
      <alignment horizontal="center" vertical="center" wrapText="1"/>
      <protection hidden="1"/>
    </xf>
    <xf numFmtId="0" fontId="110" fillId="4" borderId="37" xfId="6" applyFont="1" applyFill="1" applyBorder="1" applyAlignment="1" applyProtection="1">
      <alignment horizontal="center" vertical="center" wrapText="1"/>
      <protection hidden="1"/>
    </xf>
    <xf numFmtId="0" fontId="110" fillId="4" borderId="3" xfId="6" applyFont="1" applyFill="1" applyBorder="1" applyAlignment="1" applyProtection="1">
      <alignment horizontal="center" vertical="center" wrapText="1"/>
      <protection hidden="1"/>
    </xf>
    <xf numFmtId="8" fontId="62" fillId="4" borderId="18" xfId="0" applyNumberFormat="1" applyFont="1" applyFill="1" applyBorder="1" applyAlignment="1" applyProtection="1">
      <alignment horizontal="left" vertical="center" wrapText="1"/>
      <protection hidden="1"/>
    </xf>
    <xf numFmtId="8" fontId="62" fillId="4" borderId="0" xfId="0" applyNumberFormat="1" applyFont="1" applyFill="1" applyBorder="1" applyAlignment="1" applyProtection="1">
      <alignment horizontal="left" vertical="center" wrapText="1"/>
      <protection hidden="1"/>
    </xf>
    <xf numFmtId="0" fontId="22" fillId="4" borderId="0" xfId="6" applyFont="1" applyFill="1" applyAlignment="1" applyProtection="1">
      <alignment horizontal="center"/>
      <protection hidden="1"/>
    </xf>
    <xf numFmtId="0" fontId="108" fillId="4" borderId="7" xfId="6" applyFont="1" applyFill="1" applyBorder="1" applyAlignment="1" applyProtection="1">
      <alignment horizontal="center" vertical="center" wrapText="1"/>
      <protection hidden="1"/>
    </xf>
    <xf numFmtId="0" fontId="86" fillId="4" borderId="0" xfId="0" applyFont="1" applyFill="1" applyAlignment="1" applyProtection="1">
      <alignment horizontal="center" vertical="center" wrapText="1"/>
      <protection hidden="1"/>
    </xf>
    <xf numFmtId="0" fontId="23" fillId="5" borderId="7" xfId="0" applyFont="1" applyFill="1" applyBorder="1" applyAlignment="1" applyProtection="1">
      <alignment horizontal="center" vertical="center"/>
      <protection hidden="1"/>
    </xf>
    <xf numFmtId="0" fontId="23" fillId="5" borderId="6" xfId="6" applyFont="1" applyFill="1" applyBorder="1" applyAlignment="1" applyProtection="1">
      <alignment horizontal="center" vertical="center"/>
      <protection hidden="1"/>
    </xf>
    <xf numFmtId="0" fontId="23" fillId="5" borderId="5" xfId="6" applyFont="1" applyFill="1" applyBorder="1" applyAlignment="1" applyProtection="1">
      <alignment horizontal="center" vertical="center"/>
      <protection hidden="1"/>
    </xf>
    <xf numFmtId="0" fontId="23" fillId="5" borderId="2" xfId="6" applyFont="1" applyFill="1" applyBorder="1" applyAlignment="1" applyProtection="1">
      <alignment horizontal="center" vertical="center"/>
      <protection hidden="1"/>
    </xf>
    <xf numFmtId="0" fontId="23" fillId="5" borderId="35" xfId="6" applyFont="1" applyFill="1" applyBorder="1" applyAlignment="1" applyProtection="1">
      <alignment horizontal="center" vertical="center"/>
      <protection hidden="1"/>
    </xf>
    <xf numFmtId="0" fontId="23" fillId="5" borderId="18" xfId="6" applyFont="1" applyFill="1" applyBorder="1" applyAlignment="1" applyProtection="1">
      <alignment horizontal="center" vertical="center"/>
      <protection hidden="1"/>
    </xf>
    <xf numFmtId="0" fontId="101" fillId="4" borderId="6" xfId="6" applyFont="1" applyFill="1" applyBorder="1" applyAlignment="1" applyProtection="1">
      <alignment horizontal="right" vertical="center"/>
      <protection hidden="1"/>
    </xf>
    <xf numFmtId="0" fontId="101" fillId="4" borderId="5" xfId="6" applyFont="1" applyFill="1" applyBorder="1" applyAlignment="1" applyProtection="1">
      <alignment horizontal="right" vertical="center"/>
      <protection hidden="1"/>
    </xf>
    <xf numFmtId="0" fontId="101" fillId="4" borderId="2" xfId="6" applyFont="1" applyFill="1" applyBorder="1" applyAlignment="1" applyProtection="1">
      <alignment horizontal="right" vertical="center"/>
      <protection hidden="1"/>
    </xf>
    <xf numFmtId="0" fontId="104" fillId="4" borderId="6" xfId="6" applyFont="1" applyFill="1" applyBorder="1" applyAlignment="1" applyProtection="1">
      <alignment horizontal="right" vertical="center"/>
      <protection hidden="1"/>
    </xf>
    <xf numFmtId="0" fontId="104" fillId="4" borderId="5" xfId="6" applyFont="1" applyFill="1" applyBorder="1" applyAlignment="1" applyProtection="1">
      <alignment horizontal="right" vertical="center"/>
      <protection hidden="1"/>
    </xf>
    <xf numFmtId="0" fontId="104" fillId="4" borderId="2" xfId="6" applyFont="1" applyFill="1" applyBorder="1" applyAlignment="1" applyProtection="1">
      <alignment horizontal="right" vertical="center"/>
      <protection hidden="1"/>
    </xf>
    <xf numFmtId="0" fontId="32" fillId="5" borderId="98" xfId="11" applyFont="1" applyFill="1" applyBorder="1" applyAlignment="1">
      <alignment horizontal="center" vertical="center"/>
    </xf>
    <xf numFmtId="0" fontId="32" fillId="5" borderId="99" xfId="11" applyFont="1" applyFill="1" applyBorder="1" applyAlignment="1">
      <alignment horizontal="center" vertical="center"/>
    </xf>
    <xf numFmtId="8" fontId="62" fillId="4" borderId="37" xfId="0" applyNumberFormat="1" applyFont="1" applyFill="1" applyBorder="1" applyAlignment="1" applyProtection="1">
      <alignment horizontal="center"/>
      <protection hidden="1"/>
    </xf>
    <xf numFmtId="0" fontId="70" fillId="5" borderId="7" xfId="11" applyFont="1" applyFill="1" applyBorder="1" applyAlignment="1">
      <alignment horizontal="center" vertical="center"/>
    </xf>
    <xf numFmtId="166" fontId="7" fillId="4" borderId="0" xfId="1" applyNumberFormat="1" applyFont="1" applyFill="1" applyAlignment="1" applyProtection="1">
      <alignment horizontal="center"/>
      <protection hidden="1"/>
    </xf>
    <xf numFmtId="171" fontId="84" fillId="4" borderId="6" xfId="0" applyNumberFormat="1" applyFont="1" applyFill="1" applyBorder="1" applyAlignment="1" applyProtection="1">
      <alignment horizontal="center" vertical="center"/>
      <protection hidden="1"/>
    </xf>
    <xf numFmtId="171" fontId="84" fillId="4" borderId="2" xfId="0" applyNumberFormat="1" applyFont="1" applyFill="1" applyBorder="1" applyAlignment="1" applyProtection="1">
      <alignment horizontal="center" vertical="center"/>
      <protection hidden="1"/>
    </xf>
    <xf numFmtId="10" fontId="83" fillId="21" borderId="7" xfId="0" applyNumberFormat="1" applyFont="1" applyFill="1" applyBorder="1" applyAlignment="1" applyProtection="1">
      <alignment horizontal="center" vertical="center"/>
      <protection locked="0" hidden="1"/>
    </xf>
    <xf numFmtId="171" fontId="84" fillId="4" borderId="5" xfId="0" applyNumberFormat="1" applyFont="1" applyFill="1" applyBorder="1" applyAlignment="1" applyProtection="1">
      <alignment horizontal="center" vertical="center"/>
      <protection hidden="1"/>
    </xf>
    <xf numFmtId="0" fontId="50" fillId="4" borderId="0" xfId="0" applyFont="1" applyFill="1" applyAlignment="1" applyProtection="1">
      <alignment horizontal="right" vertical="center"/>
      <protection hidden="1"/>
    </xf>
    <xf numFmtId="0" fontId="70" fillId="5" borderId="0" xfId="0" applyFont="1" applyFill="1" applyAlignment="1" applyProtection="1">
      <alignment horizontal="center" vertical="center"/>
      <protection hidden="1"/>
    </xf>
    <xf numFmtId="0" fontId="86" fillId="4" borderId="7" xfId="0" applyFont="1" applyFill="1" applyBorder="1" applyAlignment="1" applyProtection="1">
      <alignment horizontal="center" vertical="center"/>
      <protection hidden="1"/>
    </xf>
    <xf numFmtId="171" fontId="83" fillId="21" borderId="7" xfId="0" applyNumberFormat="1" applyFont="1" applyFill="1" applyBorder="1" applyAlignment="1" applyProtection="1">
      <alignment horizontal="center" vertical="center"/>
      <protection locked="0" hidden="1"/>
    </xf>
    <xf numFmtId="9" fontId="0" fillId="21" borderId="7" xfId="0" applyNumberFormat="1" applyFill="1" applyBorder="1" applyAlignment="1" applyProtection="1">
      <alignment horizontal="center" vertical="center"/>
      <protection locked="0" hidden="1"/>
    </xf>
    <xf numFmtId="0" fontId="32" fillId="9" borderId="77" xfId="19" applyFont="1" applyFill="1" applyBorder="1" applyAlignment="1">
      <alignment horizontal="left" vertical="center"/>
    </xf>
    <xf numFmtId="0" fontId="32" fillId="9" borderId="10" xfId="19" applyFont="1" applyFill="1" applyBorder="1" applyAlignment="1">
      <alignment horizontal="left" vertical="center"/>
    </xf>
    <xf numFmtId="0" fontId="32" fillId="9" borderId="89" xfId="19" applyFont="1" applyFill="1" applyBorder="1" applyAlignment="1">
      <alignment horizontal="left" vertical="center"/>
    </xf>
    <xf numFmtId="0" fontId="22" fillId="0" borderId="0" xfId="19" applyFont="1" applyAlignment="1">
      <alignment horizontal="center" vertical="center"/>
    </xf>
    <xf numFmtId="0" fontId="32" fillId="9" borderId="75" xfId="19" applyFont="1" applyFill="1" applyBorder="1" applyAlignment="1">
      <alignment horizontal="left" vertical="center"/>
    </xf>
    <xf numFmtId="0" fontId="32" fillId="9" borderId="9" xfId="19" applyFont="1" applyFill="1" applyBorder="1" applyAlignment="1">
      <alignment horizontal="left" vertical="center"/>
    </xf>
    <xf numFmtId="0" fontId="32" fillId="9" borderId="87" xfId="19" applyFont="1" applyFill="1" applyBorder="1" applyAlignment="1">
      <alignment horizontal="left" vertical="center"/>
    </xf>
    <xf numFmtId="0" fontId="21" fillId="27" borderId="86" xfId="19" applyFill="1" applyBorder="1" applyAlignment="1">
      <alignment horizontal="left" vertical="center" indent="2"/>
    </xf>
    <xf numFmtId="0" fontId="21" fillId="6" borderId="90" xfId="19" applyFill="1" applyBorder="1" applyAlignment="1" applyProtection="1">
      <alignment horizontal="left"/>
      <protection locked="0"/>
    </xf>
    <xf numFmtId="0" fontId="21" fillId="6" borderId="86" xfId="19" applyFill="1" applyBorder="1" applyAlignment="1" applyProtection="1">
      <alignment horizontal="left"/>
      <protection locked="0"/>
    </xf>
    <xf numFmtId="0" fontId="21" fillId="6" borderId="91" xfId="19" applyFill="1" applyBorder="1" applyAlignment="1" applyProtection="1">
      <alignment horizontal="left"/>
      <protection locked="0"/>
    </xf>
    <xf numFmtId="0" fontId="21" fillId="18" borderId="88" xfId="19" applyFill="1" applyBorder="1" applyAlignment="1">
      <alignment horizontal="left" vertical="center" indent="2"/>
    </xf>
    <xf numFmtId="0" fontId="21" fillId="6" borderId="93" xfId="19" applyFill="1" applyBorder="1" applyAlignment="1" applyProtection="1">
      <alignment horizontal="left"/>
      <protection locked="0"/>
    </xf>
    <xf numFmtId="0" fontId="21" fillId="6" borderId="88" xfId="19" applyFill="1" applyBorder="1" applyAlignment="1" applyProtection="1">
      <alignment horizontal="left"/>
      <protection locked="0"/>
    </xf>
    <xf numFmtId="0" fontId="21" fillId="6" borderId="94" xfId="19" applyFill="1" applyBorder="1" applyAlignment="1" applyProtection="1">
      <alignment horizontal="left"/>
      <protection locked="0"/>
    </xf>
    <xf numFmtId="0" fontId="22" fillId="0" borderId="37" xfId="19" applyFont="1" applyBorder="1" applyAlignment="1">
      <alignment horizontal="left" vertical="center"/>
    </xf>
    <xf numFmtId="0" fontId="32" fillId="9" borderId="84" xfId="19" applyFont="1" applyFill="1" applyBorder="1" applyAlignment="1">
      <alignment horizontal="center" vertical="center"/>
    </xf>
    <xf numFmtId="0" fontId="32" fillId="9" borderId="85" xfId="19" applyFont="1" applyFill="1" applyBorder="1" applyAlignment="1">
      <alignment horizontal="center" vertical="center"/>
    </xf>
    <xf numFmtId="0" fontId="32" fillId="9" borderId="81" xfId="19" applyFont="1" applyFill="1" applyBorder="1" applyAlignment="1">
      <alignment horizontal="left" vertical="center"/>
    </xf>
    <xf numFmtId="0" fontId="21" fillId="26" borderId="86" xfId="19" applyFill="1" applyBorder="1" applyAlignment="1">
      <alignment horizontal="left" vertical="center" indent="2"/>
    </xf>
    <xf numFmtId="0" fontId="22" fillId="4" borderId="0" xfId="0" applyFont="1" applyFill="1" applyAlignment="1" applyProtection="1">
      <alignment horizontal="left" vertical="center"/>
      <protection hidden="1"/>
    </xf>
    <xf numFmtId="0" fontId="22" fillId="4" borderId="1" xfId="0" applyFont="1" applyFill="1" applyBorder="1" applyAlignment="1" applyProtection="1">
      <alignment horizontal="left" vertical="center"/>
      <protection hidden="1"/>
    </xf>
    <xf numFmtId="0" fontId="15" fillId="5" borderId="0" xfId="0" applyFont="1" applyFill="1" applyAlignment="1" applyProtection="1">
      <alignment horizontal="center" vertical="center"/>
      <protection hidden="1"/>
    </xf>
    <xf numFmtId="0" fontId="32" fillId="5" borderId="0" xfId="0" applyFont="1" applyFill="1" applyAlignment="1" applyProtection="1">
      <alignment horizontal="center" vertical="center"/>
      <protection hidden="1"/>
    </xf>
    <xf numFmtId="0" fontId="70" fillId="22" borderId="0" xfId="0" applyFont="1" applyFill="1" applyAlignment="1" applyProtection="1">
      <alignment horizontal="center" vertical="center"/>
      <protection hidden="1"/>
    </xf>
    <xf numFmtId="0" fontId="75" fillId="23" borderId="82" xfId="18" applyFont="1" applyFill="1" applyBorder="1" applyAlignment="1">
      <alignment horizontal="left" indent="10"/>
    </xf>
    <xf numFmtId="0" fontId="75" fillId="23" borderId="0" xfId="18" applyFont="1" applyFill="1" applyAlignment="1">
      <alignment horizontal="left" indent="10"/>
    </xf>
    <xf numFmtId="0" fontId="75" fillId="23" borderId="1" xfId="18" applyFont="1" applyFill="1" applyBorder="1" applyAlignment="1">
      <alignment horizontal="left" indent="10"/>
    </xf>
    <xf numFmtId="0" fontId="78" fillId="23" borderId="6" xfId="18" applyFont="1" applyFill="1" applyBorder="1" applyAlignment="1">
      <alignment horizontal="center"/>
    </xf>
    <xf numFmtId="0" fontId="78" fillId="23" borderId="2" xfId="18" applyFont="1" applyFill="1" applyBorder="1" applyAlignment="1">
      <alignment horizontal="center"/>
    </xf>
    <xf numFmtId="0" fontId="70" fillId="22" borderId="0" xfId="4" applyFont="1" applyFill="1" applyAlignment="1">
      <alignment horizontal="center" vertical="center"/>
    </xf>
    <xf numFmtId="0" fontId="78" fillId="23" borderId="18" xfId="18" applyFont="1" applyFill="1" applyBorder="1" applyAlignment="1">
      <alignment horizontal="center" vertical="center" wrapText="1"/>
    </xf>
    <xf numFmtId="0" fontId="78" fillId="23" borderId="0" xfId="18" applyFont="1" applyFill="1" applyAlignment="1">
      <alignment horizontal="center" vertical="center" wrapText="1"/>
    </xf>
    <xf numFmtId="0" fontId="78" fillId="23" borderId="37" xfId="18" applyFont="1" applyFill="1" applyBorder="1" applyAlignment="1">
      <alignment horizontal="center" vertical="center" wrapText="1"/>
    </xf>
    <xf numFmtId="0" fontId="82" fillId="23" borderId="18" xfId="18" applyFont="1" applyFill="1" applyBorder="1" applyAlignment="1">
      <alignment horizontal="left" vertical="top" wrapText="1"/>
    </xf>
    <xf numFmtId="0" fontId="82" fillId="23" borderId="0" xfId="18" applyFont="1" applyFill="1" applyAlignment="1">
      <alignment horizontal="left" vertical="top" wrapText="1"/>
    </xf>
    <xf numFmtId="0" fontId="31" fillId="5" borderId="0" xfId="4" applyFont="1" applyFill="1" applyAlignment="1">
      <alignment horizontal="center" vertical="center"/>
    </xf>
    <xf numFmtId="0" fontId="22" fillId="0" borderId="0" xfId="4" applyFont="1" applyAlignment="1">
      <alignment horizontal="center" vertical="center"/>
    </xf>
    <xf numFmtId="0" fontId="0" fillId="0" borderId="7" xfId="0" applyFont="1" applyBorder="1" applyAlignment="1" applyProtection="1">
      <alignment horizontal="center" vertical="center"/>
      <protection hidden="1"/>
    </xf>
    <xf numFmtId="0" fontId="49" fillId="5" borderId="7" xfId="0" applyFont="1" applyFill="1" applyBorder="1" applyAlignment="1" applyProtection="1">
      <alignment horizontal="center" vertical="center"/>
      <protection hidden="1"/>
    </xf>
    <xf numFmtId="0" fontId="51" fillId="5" borderId="75" xfId="0" applyFont="1" applyFill="1" applyBorder="1" applyAlignment="1" applyProtection="1">
      <alignment horizontal="center" vertical="center" wrapText="1"/>
      <protection hidden="1"/>
    </xf>
    <xf numFmtId="0" fontId="51" fillId="5" borderId="77" xfId="0" applyFont="1" applyFill="1" applyBorder="1" applyAlignment="1" applyProtection="1">
      <alignment horizontal="center" vertical="center"/>
      <protection hidden="1"/>
    </xf>
    <xf numFmtId="0" fontId="63" fillId="4" borderId="17" xfId="0" applyFont="1" applyFill="1" applyBorder="1" applyAlignment="1" applyProtection="1">
      <alignment horizontal="center" vertical="center" wrapText="1"/>
      <protection hidden="1"/>
    </xf>
    <xf numFmtId="0" fontId="63" fillId="4" borderId="17" xfId="0" applyFont="1" applyFill="1" applyBorder="1" applyAlignment="1" applyProtection="1">
      <alignment horizontal="center" vertical="center"/>
      <protection hidden="1"/>
    </xf>
    <xf numFmtId="0" fontId="63" fillId="4" borderId="60" xfId="0" applyFont="1" applyFill="1" applyBorder="1" applyAlignment="1" applyProtection="1">
      <alignment horizontal="center" vertical="center"/>
      <protection hidden="1"/>
    </xf>
    <xf numFmtId="0" fontId="50" fillId="0" borderId="79" xfId="0" applyFont="1" applyBorder="1" applyAlignment="1" applyProtection="1">
      <alignment horizontal="center" vertical="center"/>
      <protection hidden="1"/>
    </xf>
    <xf numFmtId="0" fontId="49" fillId="5" borderId="81" xfId="0" applyFont="1" applyFill="1" applyBorder="1" applyAlignment="1" applyProtection="1">
      <alignment horizontal="center" vertical="center"/>
      <protection hidden="1"/>
    </xf>
    <xf numFmtId="0" fontId="49" fillId="5" borderId="63" xfId="0" applyFont="1" applyFill="1" applyBorder="1" applyAlignment="1" applyProtection="1">
      <alignment horizontal="center" vertical="center"/>
      <protection hidden="1"/>
    </xf>
    <xf numFmtId="0" fontId="0" fillId="4" borderId="63" xfId="0" applyFont="1" applyFill="1" applyBorder="1" applyAlignment="1" applyProtection="1">
      <alignment horizontal="center" vertical="center"/>
      <protection hidden="1"/>
    </xf>
    <xf numFmtId="0" fontId="64" fillId="0" borderId="37" xfId="0" applyFont="1" applyBorder="1" applyAlignment="1" applyProtection="1">
      <alignment horizontal="center" vertical="center"/>
      <protection hidden="1"/>
    </xf>
    <xf numFmtId="0" fontId="51" fillId="5" borderId="58" xfId="0" applyFont="1" applyFill="1" applyBorder="1" applyAlignment="1" applyProtection="1">
      <alignment horizontal="center" vertical="center"/>
      <protection hidden="1"/>
    </xf>
    <xf numFmtId="0" fontId="51" fillId="5" borderId="76" xfId="0" applyFont="1" applyFill="1" applyBorder="1" applyAlignment="1" applyProtection="1">
      <alignment horizontal="center" vertical="center"/>
      <protection hidden="1"/>
    </xf>
    <xf numFmtId="171" fontId="0" fillId="0" borderId="7" xfId="0" applyNumberFormat="1" applyFont="1" applyBorder="1" applyAlignment="1" applyProtection="1">
      <alignment horizontal="center" vertical="center"/>
      <protection hidden="1"/>
    </xf>
    <xf numFmtId="171" fontId="0" fillId="0" borderId="6" xfId="0" applyNumberFormat="1" applyBorder="1" applyAlignment="1" applyProtection="1">
      <alignment horizontal="center" vertical="center"/>
      <protection hidden="1"/>
    </xf>
    <xf numFmtId="171" fontId="0" fillId="0" borderId="2" xfId="0" applyNumberFormat="1" applyBorder="1" applyAlignment="1" applyProtection="1">
      <alignment horizontal="center" vertical="center"/>
      <protection hidden="1"/>
    </xf>
    <xf numFmtId="0" fontId="59" fillId="0" borderId="0" xfId="0" applyFont="1" applyAlignment="1">
      <alignment horizontal="center" vertical="center"/>
    </xf>
    <xf numFmtId="0" fontId="51" fillId="5" borderId="26" xfId="0" applyFont="1" applyFill="1" applyBorder="1" applyAlignment="1">
      <alignment horizontal="center" vertical="center"/>
    </xf>
    <xf numFmtId="0" fontId="51" fillId="5" borderId="68" xfId="0" applyFont="1" applyFill="1" applyBorder="1" applyAlignment="1">
      <alignment horizontal="center" vertical="center"/>
    </xf>
    <xf numFmtId="0" fontId="51" fillId="5" borderId="27" xfId="0" applyFont="1" applyFill="1" applyBorder="1" applyAlignment="1">
      <alignment horizontal="center" vertical="center"/>
    </xf>
    <xf numFmtId="0" fontId="49" fillId="5" borderId="26" xfId="0" applyFont="1" applyFill="1" applyBorder="1" applyAlignment="1">
      <alignment horizontal="center" vertical="center"/>
    </xf>
    <xf numFmtId="0" fontId="49" fillId="5" borderId="68" xfId="0" applyFont="1" applyFill="1" applyBorder="1" applyAlignment="1">
      <alignment horizontal="center" vertical="center"/>
    </xf>
    <xf numFmtId="0" fontId="49" fillId="5" borderId="27" xfId="0" applyFont="1" applyFill="1" applyBorder="1" applyAlignment="1">
      <alignment horizontal="center" vertical="center"/>
    </xf>
    <xf numFmtId="0" fontId="63" fillId="0" borderId="7" xfId="0" applyFont="1" applyBorder="1" applyAlignment="1">
      <alignment horizontal="center"/>
    </xf>
    <xf numFmtId="5" fontId="0" fillId="21" borderId="7" xfId="1" applyNumberFormat="1" applyFont="1" applyFill="1" applyBorder="1" applyAlignment="1" applyProtection="1">
      <alignment horizontal="center"/>
      <protection locked="0"/>
    </xf>
    <xf numFmtId="0" fontId="50" fillId="0" borderId="7" xfId="0" applyFont="1" applyBorder="1" applyAlignment="1">
      <alignment horizontal="center" vertical="center"/>
    </xf>
    <xf numFmtId="0" fontId="0" fillId="21" borderId="7" xfId="0" applyFont="1" applyFill="1" applyBorder="1" applyAlignment="1" applyProtection="1">
      <alignment horizontal="center" vertical="center"/>
      <protection locked="0"/>
    </xf>
    <xf numFmtId="0" fontId="23" fillId="5" borderId="0" xfId="10" applyFont="1" applyFill="1" applyAlignment="1">
      <alignment horizontal="center" vertical="center" wrapText="1"/>
    </xf>
    <xf numFmtId="0" fontId="39" fillId="0" borderId="0" xfId="10" applyFont="1" applyBorder="1" applyAlignment="1" applyProtection="1">
      <alignment horizontal="center" vertical="center" wrapText="1"/>
      <protection hidden="1"/>
    </xf>
    <xf numFmtId="0" fontId="29" fillId="0" borderId="0" xfId="10" applyFont="1" applyAlignment="1" applyProtection="1">
      <alignment horizontal="left" vertical="center" wrapText="1"/>
      <protection hidden="1"/>
    </xf>
    <xf numFmtId="0" fontId="29" fillId="0" borderId="37" xfId="10" applyFont="1" applyBorder="1" applyAlignment="1" applyProtection="1">
      <alignment horizontal="left" vertical="center" wrapText="1"/>
      <protection hidden="1"/>
    </xf>
    <xf numFmtId="0" fontId="53" fillId="0" borderId="0" xfId="10" applyFont="1" applyAlignment="1" applyProtection="1">
      <alignment horizontal="left" vertical="center" wrapText="1" indent="1"/>
      <protection hidden="1"/>
    </xf>
    <xf numFmtId="0" fontId="23" fillId="10" borderId="0" xfId="10" applyFont="1" applyFill="1" applyAlignment="1" applyProtection="1">
      <alignment horizontal="center" vertical="center"/>
      <protection hidden="1"/>
    </xf>
    <xf numFmtId="0" fontId="22" fillId="0" borderId="0" xfId="10" applyFont="1" applyAlignment="1" applyProtection="1">
      <alignment horizontal="center" vertical="center"/>
      <protection hidden="1"/>
    </xf>
    <xf numFmtId="0" fontId="54" fillId="6" borderId="6" xfId="10" applyFont="1" applyFill="1" applyBorder="1" applyAlignment="1" applyProtection="1">
      <alignment horizontal="center" vertical="center"/>
      <protection locked="0" hidden="1"/>
    </xf>
    <xf numFmtId="0" fontId="54" fillId="6" borderId="2" xfId="10" applyFont="1" applyFill="1" applyBorder="1" applyAlignment="1" applyProtection="1">
      <alignment horizontal="center" vertical="center"/>
      <protection locked="0" hidden="1"/>
    </xf>
    <xf numFmtId="0" fontId="22" fillId="6" borderId="7" xfId="10" applyFont="1" applyFill="1" applyBorder="1" applyAlignment="1" applyProtection="1">
      <alignment horizontal="center" vertical="center"/>
      <protection locked="0" hidden="1"/>
    </xf>
    <xf numFmtId="10" fontId="22" fillId="0" borderId="7" xfId="2" applyNumberFormat="1" applyFont="1" applyBorder="1" applyAlignment="1" applyProtection="1">
      <alignment horizontal="center" vertical="center"/>
      <protection hidden="1"/>
    </xf>
    <xf numFmtId="10" fontId="25" fillId="6" borderId="7" xfId="19" applyNumberFormat="1" applyFont="1" applyFill="1" applyBorder="1" applyAlignment="1" applyProtection="1">
      <alignment horizontal="center" vertical="center"/>
      <protection locked="0" hidden="1"/>
    </xf>
    <xf numFmtId="9" fontId="24" fillId="4" borderId="18" xfId="10" applyNumberFormat="1" applyFont="1" applyFill="1" applyBorder="1" applyAlignment="1" applyProtection="1">
      <alignment horizontal="center" vertical="center"/>
      <protection locked="0" hidden="1"/>
    </xf>
    <xf numFmtId="0" fontId="24" fillId="4" borderId="18" xfId="10" applyFont="1" applyFill="1" applyBorder="1" applyAlignment="1" applyProtection="1">
      <alignment horizontal="center" vertical="center"/>
      <protection locked="0" hidden="1"/>
    </xf>
    <xf numFmtId="166" fontId="22" fillId="0" borderId="7" xfId="7" applyNumberFormat="1" applyFont="1" applyBorder="1" applyAlignment="1" applyProtection="1">
      <alignment horizontal="center"/>
      <protection hidden="1"/>
    </xf>
    <xf numFmtId="0" fontId="22" fillId="4" borderId="20" xfId="19" applyFont="1" applyFill="1" applyBorder="1" applyAlignment="1" applyProtection="1">
      <alignment horizontal="center" wrapText="1"/>
      <protection hidden="1"/>
    </xf>
    <xf numFmtId="0" fontId="22" fillId="4" borderId="21" xfId="19" applyFont="1" applyFill="1" applyBorder="1" applyAlignment="1" applyProtection="1">
      <alignment horizontal="center" wrapText="1"/>
      <protection hidden="1"/>
    </xf>
    <xf numFmtId="0" fontId="25" fillId="20" borderId="7" xfId="19" applyFont="1" applyFill="1" applyBorder="1" applyAlignment="1" applyProtection="1">
      <alignment horizontal="right" vertical="center" wrapText="1"/>
      <protection hidden="1"/>
    </xf>
    <xf numFmtId="10" fontId="39" fillId="0" borderId="7" xfId="2" applyNumberFormat="1" applyFont="1" applyBorder="1" applyAlignment="1" applyProtection="1">
      <alignment horizontal="right"/>
      <protection hidden="1"/>
    </xf>
    <xf numFmtId="0" fontId="22" fillId="4" borderId="6" xfId="19" applyFont="1" applyFill="1" applyBorder="1" applyAlignment="1" applyProtection="1">
      <alignment horizontal="left"/>
      <protection hidden="1"/>
    </xf>
    <xf numFmtId="0" fontId="22" fillId="4" borderId="2" xfId="19" applyFont="1" applyFill="1" applyBorder="1" applyAlignment="1" applyProtection="1">
      <alignment horizontal="left"/>
      <protection hidden="1"/>
    </xf>
    <xf numFmtId="0" fontId="22" fillId="0" borderId="7" xfId="2" applyNumberFormat="1" applyFont="1" applyBorder="1" applyAlignment="1" applyProtection="1">
      <alignment horizontal="right"/>
      <protection hidden="1"/>
    </xf>
    <xf numFmtId="0" fontId="39" fillId="0" borderId="7" xfId="19" applyFont="1" applyBorder="1" applyAlignment="1" applyProtection="1">
      <alignment horizontal="right"/>
      <protection hidden="1"/>
    </xf>
    <xf numFmtId="10" fontId="25" fillId="6" borderId="6" xfId="19" applyNumberFormat="1" applyFont="1" applyFill="1" applyBorder="1" applyAlignment="1" applyProtection="1">
      <alignment horizontal="center" vertical="center"/>
      <protection locked="0"/>
    </xf>
    <xf numFmtId="10" fontId="25" fillId="6" borderId="2" xfId="19" applyNumberFormat="1" applyFont="1" applyFill="1" applyBorder="1" applyAlignment="1" applyProtection="1">
      <alignment horizontal="center" vertical="center"/>
      <protection locked="0"/>
    </xf>
    <xf numFmtId="0" fontId="22" fillId="6" borderId="7" xfId="10" applyFont="1" applyFill="1" applyBorder="1" applyAlignment="1" applyProtection="1">
      <alignment horizontal="left" vertical="center"/>
      <protection locked="0"/>
    </xf>
    <xf numFmtId="0" fontId="22" fillId="0" borderId="37" xfId="10" applyFont="1" applyBorder="1" applyAlignment="1" applyProtection="1">
      <alignment horizontal="center" vertical="center"/>
      <protection hidden="1"/>
    </xf>
    <xf numFmtId="0" fontId="25" fillId="4" borderId="54" xfId="19" applyFont="1" applyFill="1" applyBorder="1" applyAlignment="1" applyProtection="1">
      <alignment horizontal="center" wrapText="1"/>
      <protection hidden="1"/>
    </xf>
    <xf numFmtId="0" fontId="25" fillId="4" borderId="55" xfId="19" applyFont="1" applyFill="1" applyBorder="1" applyAlignment="1" applyProtection="1">
      <alignment horizontal="center" wrapText="1"/>
      <protection hidden="1"/>
    </xf>
    <xf numFmtId="0" fontId="25" fillId="20" borderId="6" xfId="19" applyFont="1" applyFill="1" applyBorder="1" applyAlignment="1" applyProtection="1">
      <alignment horizontal="right" vertical="center" wrapText="1"/>
      <protection hidden="1"/>
    </xf>
    <xf numFmtId="0" fontId="22" fillId="4" borderId="52" xfId="19" applyFont="1" applyFill="1" applyBorder="1" applyAlignment="1" applyProtection="1">
      <alignment horizontal="left"/>
      <protection hidden="1"/>
    </xf>
    <xf numFmtId="0" fontId="22" fillId="4" borderId="53" xfId="19" applyFont="1" applyFill="1" applyBorder="1" applyAlignment="1" applyProtection="1">
      <alignment horizontal="left"/>
      <protection hidden="1"/>
    </xf>
    <xf numFmtId="0" fontId="46" fillId="5" borderId="0" xfId="10" applyFont="1" applyFill="1" applyAlignment="1">
      <alignment horizontal="center" vertical="center"/>
    </xf>
    <xf numFmtId="171" fontId="41" fillId="7" borderId="42" xfId="15" applyNumberFormat="1" applyFont="1" applyFill="1" applyBorder="1" applyAlignment="1" applyProtection="1">
      <alignment horizontal="center" vertical="center"/>
      <protection hidden="1"/>
    </xf>
    <xf numFmtId="171" fontId="41" fillId="7" borderId="0" xfId="15" applyNumberFormat="1" applyFont="1" applyFill="1" applyAlignment="1" applyProtection="1">
      <alignment horizontal="center" vertical="center"/>
      <protection hidden="1"/>
    </xf>
    <xf numFmtId="171" fontId="41" fillId="7" borderId="43" xfId="15" applyNumberFormat="1" applyFont="1" applyFill="1" applyBorder="1" applyAlignment="1" applyProtection="1">
      <alignment horizontal="center" vertical="center"/>
      <protection hidden="1"/>
    </xf>
    <xf numFmtId="171" fontId="41" fillId="7" borderId="0" xfId="10" applyNumberFormat="1" applyFont="1" applyFill="1" applyAlignment="1" applyProtection="1">
      <alignment horizontal="center" vertical="center"/>
      <protection hidden="1"/>
    </xf>
    <xf numFmtId="0" fontId="44" fillId="0" borderId="35" xfId="10" applyFont="1" applyBorder="1" applyAlignment="1">
      <alignment horizontal="center" wrapText="1"/>
    </xf>
    <xf numFmtId="0" fontId="44" fillId="0" borderId="18" xfId="10" applyFont="1" applyBorder="1" applyAlignment="1">
      <alignment horizontal="center" wrapText="1"/>
    </xf>
    <xf numFmtId="0" fontId="44" fillId="0" borderId="14" xfId="10" applyFont="1" applyBorder="1" applyAlignment="1">
      <alignment horizontal="center" wrapText="1"/>
    </xf>
    <xf numFmtId="0" fontId="44" fillId="0" borderId="36" xfId="10" applyFont="1" applyBorder="1" applyAlignment="1">
      <alignment horizontal="center" wrapText="1"/>
    </xf>
    <xf numFmtId="0" fontId="44" fillId="0" borderId="37" xfId="10" applyFont="1" applyBorder="1" applyAlignment="1">
      <alignment horizontal="center" wrapText="1"/>
    </xf>
    <xf numFmtId="0" fontId="44" fillId="0" borderId="3" xfId="10" applyFont="1" applyBorder="1" applyAlignment="1">
      <alignment horizontal="center" wrapText="1"/>
    </xf>
    <xf numFmtId="0" fontId="42" fillId="0" borderId="42" xfId="10" applyFont="1" applyBorder="1" applyAlignment="1">
      <alignment horizontal="center" vertical="center"/>
    </xf>
    <xf numFmtId="0" fontId="42" fillId="0" borderId="0" xfId="10" applyFont="1" applyAlignment="1">
      <alignment horizontal="center" vertical="center"/>
    </xf>
    <xf numFmtId="171" fontId="43" fillId="0" borderId="35" xfId="10" applyNumberFormat="1" applyFont="1" applyBorder="1" applyAlignment="1" applyProtection="1">
      <alignment horizontal="center" vertical="center"/>
      <protection hidden="1"/>
    </xf>
    <xf numFmtId="171" fontId="43" fillId="0" borderId="18" xfId="10" applyNumberFormat="1" applyFont="1" applyBorder="1" applyAlignment="1" applyProtection="1">
      <alignment horizontal="center" vertical="center"/>
      <protection hidden="1"/>
    </xf>
    <xf numFmtId="171" fontId="43" fillId="0" borderId="14" xfId="10" applyNumberFormat="1" applyFont="1" applyBorder="1" applyAlignment="1" applyProtection="1">
      <alignment horizontal="center" vertical="center"/>
      <protection hidden="1"/>
    </xf>
    <xf numFmtId="171" fontId="43" fillId="0" borderId="36" xfId="10" applyNumberFormat="1" applyFont="1" applyBorder="1" applyAlignment="1" applyProtection="1">
      <alignment horizontal="center" vertical="center"/>
      <protection hidden="1"/>
    </xf>
    <xf numFmtId="171" fontId="43" fillId="0" borderId="37" xfId="10" applyNumberFormat="1" applyFont="1" applyBorder="1" applyAlignment="1" applyProtection="1">
      <alignment horizontal="center" vertical="center"/>
      <protection hidden="1"/>
    </xf>
    <xf numFmtId="171" fontId="43" fillId="0" borderId="3" xfId="10" applyNumberFormat="1" applyFont="1" applyBorder="1" applyAlignment="1" applyProtection="1">
      <alignment horizontal="center" vertical="center"/>
      <protection hidden="1"/>
    </xf>
    <xf numFmtId="0" fontId="32" fillId="5" borderId="4" xfId="10" applyFont="1" applyFill="1" applyBorder="1" applyAlignment="1">
      <alignment horizontal="center" vertical="center"/>
    </xf>
    <xf numFmtId="0" fontId="21" fillId="0" borderId="0" xfId="10" applyAlignment="1">
      <alignment horizontal="center" vertical="center"/>
    </xf>
    <xf numFmtId="0" fontId="32" fillId="7" borderId="0" xfId="10" applyFont="1" applyFill="1" applyAlignment="1">
      <alignment horizontal="center" vertical="center" textRotation="45"/>
    </xf>
    <xf numFmtId="0" fontId="38" fillId="0" borderId="0" xfId="10" applyFont="1" applyAlignment="1">
      <alignment horizontal="center" vertical="center" wrapText="1"/>
    </xf>
    <xf numFmtId="0" fontId="37" fillId="0" borderId="39" xfId="10" applyFont="1" applyBorder="1" applyAlignment="1" applyProtection="1">
      <alignment horizontal="center" vertical="center" wrapText="1"/>
      <protection hidden="1"/>
    </xf>
    <xf numFmtId="0" fontId="37" fillId="0" borderId="40" xfId="10" applyFont="1" applyBorder="1" applyAlignment="1" applyProtection="1">
      <alignment horizontal="center" vertical="center" wrapText="1"/>
      <protection hidden="1"/>
    </xf>
    <xf numFmtId="0" fontId="37" fillId="0" borderId="41" xfId="10" applyFont="1" applyBorder="1" applyAlignment="1" applyProtection="1">
      <alignment horizontal="center" vertical="center" wrapText="1"/>
      <protection hidden="1"/>
    </xf>
    <xf numFmtId="0" fontId="37" fillId="0" borderId="42" xfId="10" applyFont="1" applyBorder="1" applyAlignment="1" applyProtection="1">
      <alignment horizontal="center" vertical="center" wrapText="1"/>
      <protection hidden="1"/>
    </xf>
    <xf numFmtId="0" fontId="37" fillId="0" borderId="0" xfId="10" applyFont="1" applyAlignment="1" applyProtection="1">
      <alignment horizontal="center" vertical="center" wrapText="1"/>
      <protection hidden="1"/>
    </xf>
    <xf numFmtId="0" fontId="37" fillId="0" borderId="43" xfId="10" applyFont="1" applyBorder="1" applyAlignment="1" applyProtection="1">
      <alignment horizontal="center" vertical="center" wrapText="1"/>
      <protection hidden="1"/>
    </xf>
    <xf numFmtId="0" fontId="37" fillId="0" borderId="44" xfId="10" applyFont="1" applyBorder="1" applyAlignment="1" applyProtection="1">
      <alignment horizontal="center" vertical="center" wrapText="1"/>
      <protection hidden="1"/>
    </xf>
    <xf numFmtId="0" fontId="37" fillId="0" borderId="45" xfId="10" applyFont="1" applyBorder="1" applyAlignment="1" applyProtection="1">
      <alignment horizontal="center" vertical="center" wrapText="1"/>
      <protection hidden="1"/>
    </xf>
    <xf numFmtId="0" fontId="37" fillId="0" borderId="46" xfId="10" applyFont="1" applyBorder="1" applyAlignment="1" applyProtection="1">
      <alignment horizontal="center" vertical="center" wrapText="1"/>
      <protection hidden="1"/>
    </xf>
    <xf numFmtId="0" fontId="22" fillId="0" borderId="7" xfId="19" applyFont="1" applyBorder="1" applyAlignment="1">
      <alignment horizontal="center" vertical="center"/>
    </xf>
    <xf numFmtId="0" fontId="21" fillId="11" borderId="7" xfId="19" applyFill="1" applyBorder="1" applyAlignment="1" applyProtection="1">
      <alignment horizontal="center" vertical="center"/>
      <protection locked="0"/>
    </xf>
    <xf numFmtId="0" fontId="24" fillId="0" borderId="0" xfId="19" applyFont="1" applyAlignment="1" applyProtection="1">
      <alignment horizontal="center" vertical="center" wrapText="1"/>
      <protection hidden="1"/>
    </xf>
    <xf numFmtId="0" fontId="32" fillId="9" borderId="30" xfId="19" applyFont="1" applyFill="1" applyBorder="1" applyAlignment="1" applyProtection="1">
      <alignment horizontal="center" vertical="center" wrapText="1"/>
      <protection hidden="1"/>
    </xf>
    <xf numFmtId="0" fontId="32" fillId="9" borderId="31" xfId="19" applyFont="1" applyFill="1" applyBorder="1" applyAlignment="1" applyProtection="1">
      <alignment horizontal="center" vertical="center" wrapText="1"/>
      <protection hidden="1"/>
    </xf>
    <xf numFmtId="0" fontId="32" fillId="9" borderId="32" xfId="19" applyFont="1" applyFill="1" applyBorder="1" applyAlignment="1" applyProtection="1">
      <alignment horizontal="center" vertical="center" wrapText="1"/>
      <protection hidden="1"/>
    </xf>
    <xf numFmtId="0" fontId="32" fillId="9" borderId="33" xfId="19" applyFont="1" applyFill="1" applyBorder="1" applyAlignment="1" applyProtection="1">
      <alignment horizontal="center" vertical="center" wrapText="1"/>
      <protection hidden="1"/>
    </xf>
    <xf numFmtId="0" fontId="33" fillId="0" borderId="35" xfId="19" applyFont="1" applyBorder="1" applyAlignment="1">
      <alignment horizontal="left" vertical="center" wrapText="1"/>
    </xf>
    <xf numFmtId="0" fontId="33" fillId="0" borderId="18" xfId="19" applyFont="1" applyBorder="1" applyAlignment="1">
      <alignment horizontal="left" vertical="center" wrapText="1"/>
    </xf>
    <xf numFmtId="0" fontId="33" fillId="0" borderId="14" xfId="19" applyFont="1" applyBorder="1" applyAlignment="1">
      <alignment horizontal="left" vertical="center" wrapText="1"/>
    </xf>
    <xf numFmtId="0" fontId="33" fillId="0" borderId="36" xfId="19" applyFont="1" applyBorder="1" applyAlignment="1">
      <alignment horizontal="left" vertical="center" wrapText="1"/>
    </xf>
    <xf numFmtId="0" fontId="33" fillId="0" borderId="37" xfId="19" applyFont="1" applyBorder="1" applyAlignment="1">
      <alignment horizontal="left" vertical="center" wrapText="1"/>
    </xf>
    <xf numFmtId="0" fontId="33" fillId="0" borderId="3" xfId="19" applyFont="1" applyBorder="1" applyAlignment="1">
      <alignment horizontal="left" vertical="center" wrapText="1"/>
    </xf>
    <xf numFmtId="0" fontId="31" fillId="8" borderId="0" xfId="19" applyFont="1" applyFill="1" applyAlignment="1">
      <alignment horizontal="center" vertical="center"/>
    </xf>
    <xf numFmtId="0" fontId="22" fillId="0" borderId="7" xfId="19" applyFont="1" applyBorder="1" applyAlignment="1">
      <alignment horizontal="center"/>
    </xf>
    <xf numFmtId="0" fontId="29" fillId="0" borderId="0" xfId="20" applyFont="1" applyAlignment="1" applyProtection="1">
      <alignment horizontal="left"/>
      <protection hidden="1"/>
    </xf>
    <xf numFmtId="0" fontId="23" fillId="7" borderId="7" xfId="20" applyFont="1" applyFill="1" applyBorder="1" applyAlignment="1" applyProtection="1">
      <alignment horizontal="center" vertical="center"/>
      <protection hidden="1"/>
    </xf>
    <xf numFmtId="0" fontId="30" fillId="0" borderId="7" xfId="20" applyFont="1" applyBorder="1" applyAlignment="1" applyProtection="1">
      <alignment horizontal="center" vertical="center"/>
      <protection hidden="1"/>
    </xf>
    <xf numFmtId="0" fontId="23" fillId="5" borderId="0" xfId="20" applyFont="1" applyFill="1" applyAlignment="1" applyProtection="1">
      <alignment horizontal="center" vertical="center" wrapText="1"/>
      <protection hidden="1"/>
    </xf>
    <xf numFmtId="0" fontId="23" fillId="5" borderId="0" xfId="20" applyFont="1" applyFill="1" applyAlignment="1" applyProtection="1">
      <alignment horizontal="center" vertical="center"/>
      <protection hidden="1"/>
    </xf>
    <xf numFmtId="0" fontId="23" fillId="5" borderId="1" xfId="20" applyFont="1" applyFill="1" applyBorder="1" applyAlignment="1" applyProtection="1">
      <alignment horizontal="center" vertical="center" wrapText="1"/>
      <protection hidden="1"/>
    </xf>
    <xf numFmtId="0" fontId="20" fillId="0" borderId="7" xfId="0" applyFont="1" applyBorder="1" applyAlignment="1" applyProtection="1">
      <alignment vertical="center" shrinkToFit="1"/>
      <protection locked="0" hidden="1"/>
    </xf>
    <xf numFmtId="0" fontId="0" fillId="0" borderId="7" xfId="0" applyBorder="1" applyAlignment="1" applyProtection="1">
      <alignment vertical="center" shrinkToFit="1"/>
      <protection locked="0" hidden="1"/>
    </xf>
    <xf numFmtId="0" fontId="20" fillId="0" borderId="7" xfId="0" applyFont="1" applyBorder="1" applyAlignment="1" applyProtection="1">
      <alignment horizontal="center" vertical="center" shrinkToFit="1"/>
      <protection locked="0" hidden="1"/>
    </xf>
    <xf numFmtId="0" fontId="0" fillId="0" borderId="7" xfId="0" applyBorder="1" applyAlignment="1" applyProtection="1">
      <alignment horizontal="center" vertical="center" shrinkToFit="1"/>
      <protection locked="0" hidden="1"/>
    </xf>
    <xf numFmtId="0" fontId="14" fillId="0" borderId="1" xfId="0" applyFont="1" applyBorder="1" applyAlignment="1" applyProtection="1">
      <alignment horizontal="center" vertical="center" wrapText="1" shrinkToFit="1"/>
      <protection hidden="1"/>
    </xf>
    <xf numFmtId="0" fontId="12" fillId="5" borderId="0" xfId="0" applyFont="1" applyFill="1" applyAlignment="1" applyProtection="1">
      <alignment horizontal="center" vertical="center"/>
      <protection hidden="1"/>
    </xf>
    <xf numFmtId="0" fontId="15" fillId="5" borderId="16" xfId="0" applyFont="1" applyFill="1" applyBorder="1" applyAlignment="1" applyProtection="1">
      <alignment horizontal="center" vertical="center"/>
      <protection hidden="1"/>
    </xf>
    <xf numFmtId="0" fontId="15" fillId="5" borderId="0" xfId="0" applyFont="1" applyFill="1" applyAlignment="1" applyProtection="1">
      <alignment horizontal="left" vertical="center"/>
      <protection hidden="1"/>
    </xf>
    <xf numFmtId="0" fontId="15" fillId="5" borderId="0" xfId="0" applyFont="1" applyFill="1" applyBorder="1" applyAlignment="1" applyProtection="1">
      <alignment horizontal="left" vertical="center"/>
      <protection hidden="1"/>
    </xf>
    <xf numFmtId="0" fontId="20" fillId="6" borderId="18" xfId="0" applyFont="1" applyFill="1" applyBorder="1" applyAlignment="1" applyProtection="1">
      <alignment horizontal="left" vertical="center"/>
      <protection locked="0" hidden="1"/>
    </xf>
    <xf numFmtId="0" fontId="0" fillId="6" borderId="18" xfId="0" applyFill="1" applyBorder="1" applyAlignment="1" applyProtection="1">
      <alignment horizontal="left" vertical="center"/>
      <protection locked="0" hidden="1"/>
    </xf>
    <xf numFmtId="0" fontId="0" fillId="6" borderId="14" xfId="0" applyFill="1" applyBorder="1" applyAlignment="1" applyProtection="1">
      <alignment horizontal="left" vertical="center"/>
      <protection locked="0" hidden="1"/>
    </xf>
    <xf numFmtId="0" fontId="15" fillId="5" borderId="12" xfId="0" applyFont="1" applyFill="1" applyBorder="1" applyAlignment="1" applyProtection="1">
      <alignment horizontal="center" vertical="center"/>
      <protection hidden="1"/>
    </xf>
    <xf numFmtId="0" fontId="15" fillId="5" borderId="13" xfId="0" applyFont="1" applyFill="1" applyBorder="1" applyAlignment="1" applyProtection="1">
      <alignment horizontal="center" vertical="center"/>
      <protection hidden="1"/>
    </xf>
    <xf numFmtId="0" fontId="2" fillId="3" borderId="0" xfId="0" applyFont="1" applyFill="1" applyAlignment="1">
      <alignment horizontal="center" vertical="center"/>
    </xf>
    <xf numFmtId="0" fontId="3" fillId="3" borderId="0" xfId="0" applyFont="1" applyFill="1" applyAlignment="1">
      <alignment horizontal="center" vertical="center"/>
    </xf>
    <xf numFmtId="0" fontId="4" fillId="3" borderId="0" xfId="0" applyFont="1" applyFill="1" applyAlignment="1">
      <alignment horizontal="center" vertical="center"/>
    </xf>
    <xf numFmtId="0" fontId="6" fillId="3" borderId="0" xfId="0" applyFont="1" applyFill="1" applyAlignment="1">
      <alignment horizontal="center" vertical="center"/>
    </xf>
    <xf numFmtId="0" fontId="6" fillId="3" borderId="0" xfId="0" applyFont="1" applyFill="1" applyAlignment="1">
      <alignment horizontal="left" vertical="center" wrapText="1" indent="1"/>
    </xf>
  </cellXfs>
  <cellStyles count="24">
    <cellStyle name="Comma" xfId="1" builtinId="3"/>
    <cellStyle name="Comma 2" xfId="12" xr:uid="{00000000-0005-0000-0000-000039000000}"/>
    <cellStyle name="Comma 3" xfId="13" xr:uid="{00000000-0005-0000-0000-00003A000000}"/>
    <cellStyle name="Comma 4" xfId="14" xr:uid="{00000000-0005-0000-0000-00003B000000}"/>
    <cellStyle name="Comma 5" xfId="15" xr:uid="{00000000-0005-0000-0000-00003C000000}"/>
    <cellStyle name="Comma 5 2" xfId="17" xr:uid="{00000000-0005-0000-0000-00003E000000}"/>
    <cellStyle name="Comma 5 2 2" xfId="5" xr:uid="{00000000-0005-0000-0000-000011000000}"/>
    <cellStyle name="Comma 6" xfId="7" xr:uid="{00000000-0005-0000-0000-000020000000}"/>
    <cellStyle name="Comma 7" xfId="16" xr:uid="{00000000-0005-0000-0000-00003D000000}"/>
    <cellStyle name="Hyperlink" xfId="3" builtinId="8"/>
    <cellStyle name="Normal" xfId="0" builtinId="0"/>
    <cellStyle name="Normal 2" xfId="8" xr:uid="{00000000-0005-0000-0000-000024000000}"/>
    <cellStyle name="Normal 3" xfId="9" xr:uid="{00000000-0005-0000-0000-000029000000}"/>
    <cellStyle name="Normal 3 2" xfId="18" xr:uid="{00000000-0005-0000-0000-00003F000000}"/>
    <cellStyle name="Normal 4" xfId="6" xr:uid="{00000000-0005-0000-0000-000018000000}"/>
    <cellStyle name="Normal 5" xfId="4" xr:uid="{00000000-0005-0000-0000-000008000000}"/>
    <cellStyle name="Normal 5 2" xfId="11" xr:uid="{00000000-0005-0000-0000-000037000000}"/>
    <cellStyle name="Normal 6" xfId="10" xr:uid="{00000000-0005-0000-0000-000033000000}"/>
    <cellStyle name="Normal 6 2" xfId="19" xr:uid="{00000000-0005-0000-0000-000040000000}"/>
    <cellStyle name="Normal 6 2 2" xfId="20" xr:uid="{00000000-0005-0000-0000-000041000000}"/>
    <cellStyle name="Normal 7" xfId="21" xr:uid="{00000000-0005-0000-0000-000042000000}"/>
    <cellStyle name="Percent" xfId="2" builtinId="5"/>
    <cellStyle name="Percent 2" xfId="22" xr:uid="{00000000-0005-0000-0000-000043000000}"/>
    <cellStyle name="Percent 2 2" xfId="23" xr:uid="{00000000-0005-0000-0000-000044000000}"/>
  </cellStyles>
  <dxfs count="64">
    <dxf>
      <font>
        <b/>
        <i val="0"/>
        <color theme="0"/>
      </font>
      <fill>
        <patternFill patternType="solid">
          <bgColor rgb="FFFF0000"/>
        </patternFill>
      </fill>
      <border>
        <bottom style="thin">
          <color theme="0"/>
        </bottom>
      </border>
    </dxf>
    <dxf>
      <font>
        <b/>
        <i val="0"/>
        <color theme="0"/>
      </font>
      <fill>
        <patternFill patternType="solid">
          <bgColor rgb="FFFF0000"/>
        </patternFill>
      </fill>
    </dxf>
    <dxf>
      <font>
        <b/>
        <i val="0"/>
        <color theme="0"/>
      </font>
      <fill>
        <patternFill patternType="solid">
          <bgColor rgb="FFFF0000"/>
        </patternFill>
      </fill>
    </dxf>
    <dxf>
      <font>
        <b/>
        <i val="0"/>
        <color theme="0"/>
      </font>
      <fill>
        <patternFill patternType="solid">
          <bgColor rgb="FFFF0000"/>
        </patternFill>
      </fill>
      <border>
        <right/>
        <bottom style="thin">
          <color theme="0"/>
        </bottom>
      </border>
    </dxf>
    <dxf>
      <font>
        <b/>
        <i val="0"/>
        <color theme="0"/>
      </font>
      <fill>
        <patternFill patternType="solid">
          <bgColor rgb="FFFF0000"/>
        </patternFill>
      </fill>
    </dxf>
    <dxf>
      <font>
        <b/>
        <i val="0"/>
        <color theme="0"/>
      </font>
      <fill>
        <patternFill patternType="solid">
          <bgColor rgb="FFFF0000"/>
        </patternFill>
      </fill>
    </dxf>
    <dxf>
      <font>
        <b/>
        <i val="0"/>
        <color theme="0"/>
      </font>
      <fill>
        <patternFill patternType="solid">
          <bgColor rgb="FFFF0000"/>
        </patternFill>
      </fill>
    </dxf>
    <dxf>
      <font>
        <b/>
        <i val="0"/>
        <color theme="0"/>
      </font>
      <fill>
        <patternFill patternType="solid">
          <bgColor rgb="FFFF0000"/>
        </patternFill>
      </fill>
    </dxf>
    <dxf>
      <font>
        <b/>
        <i val="0"/>
        <color theme="0"/>
      </font>
      <fill>
        <patternFill patternType="solid">
          <bgColor rgb="FFFF0000"/>
        </patternFill>
      </fill>
      <border>
        <bottom style="thin">
          <color theme="0"/>
        </bottom>
      </border>
    </dxf>
    <dxf>
      <font>
        <b/>
        <i val="0"/>
        <color theme="0"/>
      </font>
      <fill>
        <patternFill patternType="solid">
          <bgColor rgb="FFFF0000"/>
        </patternFill>
      </fill>
    </dxf>
    <dxf>
      <font>
        <b/>
        <i val="0"/>
        <color theme="0"/>
      </font>
      <fill>
        <patternFill patternType="solid">
          <bgColor rgb="FFFF0000"/>
        </patternFill>
      </fill>
    </dxf>
    <dxf>
      <font>
        <b/>
        <i val="0"/>
        <color theme="0"/>
      </font>
      <fill>
        <patternFill patternType="solid">
          <bgColor rgb="FFFF0000"/>
        </patternFill>
      </fill>
      <border>
        <right/>
        <bottom style="thin">
          <color theme="0"/>
        </bottom>
      </border>
    </dxf>
    <dxf>
      <font>
        <b/>
        <i val="0"/>
        <color theme="0"/>
      </font>
      <fill>
        <patternFill patternType="solid">
          <bgColor rgb="FFFF0000"/>
        </patternFill>
      </fill>
    </dxf>
    <dxf>
      <font>
        <b/>
        <i val="0"/>
        <color theme="0"/>
      </font>
      <fill>
        <patternFill patternType="solid">
          <bgColor rgb="FFFF0000"/>
        </patternFill>
      </fill>
    </dxf>
    <dxf>
      <font>
        <b/>
        <i val="0"/>
        <color theme="0"/>
      </font>
      <fill>
        <patternFill patternType="solid">
          <bgColor rgb="FFFF0000"/>
        </patternFill>
      </fill>
    </dxf>
    <dxf>
      <font>
        <b/>
        <i val="0"/>
        <color theme="0"/>
      </font>
      <fill>
        <patternFill patternType="solid">
          <bgColor rgb="FFFF0000"/>
        </patternFill>
      </fill>
    </dxf>
    <dxf>
      <font>
        <b/>
        <i val="0"/>
        <color theme="0"/>
      </font>
      <fill>
        <patternFill patternType="solid">
          <bgColor rgb="FF00B050"/>
        </patternFill>
      </fill>
    </dxf>
    <dxf>
      <font>
        <b/>
        <i val="0"/>
        <color rgb="FFFF0000"/>
      </font>
    </dxf>
    <dxf>
      <fill>
        <patternFill patternType="solid">
          <bgColor theme="3" tint="0.79995117038483843"/>
        </patternFill>
      </fill>
      <border>
        <left style="thin">
          <color auto="1"/>
        </left>
        <right style="thin">
          <color auto="1"/>
        </right>
        <top style="thin">
          <color auto="1"/>
        </top>
        <bottom style="thin">
          <color auto="1"/>
        </bottom>
      </border>
    </dxf>
    <dxf>
      <font>
        <b/>
        <i val="0"/>
        <strike val="0"/>
        <color theme="1"/>
      </font>
      <fill>
        <patternFill patternType="solid">
          <bgColor theme="3" tint="0.79995117038483843"/>
        </patternFill>
      </fill>
      <border>
        <left style="thin">
          <color auto="1"/>
        </left>
        <right style="thin">
          <color auto="1"/>
        </right>
        <top style="thin">
          <color auto="1"/>
        </top>
        <bottom style="thin">
          <color auto="1"/>
        </bottom>
      </border>
    </dxf>
    <dxf>
      <fill>
        <patternFill patternType="solid">
          <bgColor theme="3" tint="0.79995117038483843"/>
        </patternFill>
      </fill>
      <border>
        <left style="thin">
          <color auto="1"/>
        </left>
        <right style="thin">
          <color auto="1"/>
        </right>
        <top style="thin">
          <color auto="1"/>
        </top>
        <bottom style="thin">
          <color auto="1"/>
        </bottom>
      </border>
    </dxf>
    <dxf>
      <fill>
        <patternFill patternType="solid">
          <bgColor theme="3" tint="0.79995117038483843"/>
        </patternFill>
      </fill>
      <border>
        <left style="thin">
          <color auto="1"/>
        </left>
        <right style="thin">
          <color auto="1"/>
        </right>
        <top style="thin">
          <color auto="1"/>
        </top>
        <bottom style="thin">
          <color auto="1"/>
        </bottom>
      </border>
    </dxf>
    <dxf>
      <fill>
        <patternFill patternType="solid">
          <bgColor theme="3" tint="0.79995117038483843"/>
        </patternFill>
      </fill>
      <border>
        <left style="thin">
          <color auto="1"/>
        </left>
        <right style="thin">
          <color auto="1"/>
        </right>
        <top style="thin">
          <color auto="1"/>
        </top>
        <bottom style="thin">
          <color auto="1"/>
        </bottom>
      </border>
    </dxf>
    <dxf>
      <fill>
        <patternFill patternType="solid">
          <bgColor theme="3" tint="0.79995117038483843"/>
        </patternFill>
      </fill>
      <border>
        <left style="thin">
          <color auto="1"/>
        </left>
        <right style="thin">
          <color auto="1"/>
        </right>
        <top style="thin">
          <color auto="1"/>
        </top>
        <bottom style="thin">
          <color auto="1"/>
        </bottom>
      </border>
    </dxf>
    <dxf>
      <fill>
        <patternFill patternType="solid">
          <bgColor theme="3" tint="0.79995117038483843"/>
        </patternFill>
      </fill>
      <border>
        <left style="thin">
          <color auto="1"/>
        </left>
        <right style="thin">
          <color auto="1"/>
        </right>
        <top style="thin">
          <color auto="1"/>
        </top>
        <bottom style="thin">
          <color auto="1"/>
        </bottom>
      </border>
    </dxf>
    <dxf>
      <fill>
        <patternFill patternType="solid">
          <bgColor theme="3" tint="0.79995117038483843"/>
        </patternFill>
      </fill>
      <border>
        <left style="thin">
          <color auto="1"/>
        </left>
        <right style="thin">
          <color auto="1"/>
        </right>
        <top style="thin">
          <color auto="1"/>
        </top>
        <bottom style="thin">
          <color auto="1"/>
        </bottom>
      </border>
    </dxf>
    <dxf>
      <fill>
        <patternFill patternType="solid">
          <bgColor theme="3" tint="0.79995117038483843"/>
        </patternFill>
      </fill>
      <border>
        <left style="thin">
          <color auto="1"/>
        </left>
        <right style="thin">
          <color auto="1"/>
        </right>
        <top style="thin">
          <color auto="1"/>
        </top>
        <bottom style="thin">
          <color auto="1"/>
        </bottom>
      </border>
    </dxf>
    <dxf>
      <fill>
        <patternFill patternType="solid">
          <bgColor theme="3" tint="0.79995117038483843"/>
        </patternFill>
      </fill>
      <border>
        <left style="thin">
          <color auto="1"/>
        </left>
        <right style="thin">
          <color auto="1"/>
        </right>
        <top style="thin">
          <color auto="1"/>
        </top>
        <bottom style="thin">
          <color auto="1"/>
        </bottom>
      </border>
    </dxf>
    <dxf>
      <fill>
        <patternFill patternType="solid">
          <bgColor theme="3" tint="0.79995117038483843"/>
        </patternFill>
      </fill>
      <border>
        <left style="thin">
          <color auto="1"/>
        </left>
        <right style="thin">
          <color auto="1"/>
        </right>
        <top style="thin">
          <color auto="1"/>
        </top>
        <bottom style="thin">
          <color auto="1"/>
        </bottom>
      </border>
    </dxf>
    <dxf>
      <fill>
        <patternFill patternType="solid">
          <bgColor theme="3" tint="0.79995117038483843"/>
        </patternFill>
      </fill>
      <border>
        <left style="thin">
          <color auto="1"/>
        </left>
        <right style="thin">
          <color auto="1"/>
        </right>
        <top style="thin">
          <color auto="1"/>
        </top>
        <bottom style="thin">
          <color auto="1"/>
        </bottom>
      </border>
    </dxf>
    <dxf>
      <fill>
        <patternFill patternType="solid">
          <bgColor theme="3" tint="0.79995117038483843"/>
        </patternFill>
      </fill>
      <border>
        <left style="thin">
          <color auto="1"/>
        </left>
        <right style="thin">
          <color auto="1"/>
        </right>
        <top style="thin">
          <color auto="1"/>
        </top>
        <bottom style="thin">
          <color auto="1"/>
        </bottom>
      </border>
    </dxf>
    <dxf>
      <fill>
        <patternFill patternType="solid">
          <bgColor theme="3" tint="0.79995117038483843"/>
        </patternFill>
      </fill>
      <border>
        <left style="thin">
          <color auto="1"/>
        </left>
        <right style="thin">
          <color auto="1"/>
        </right>
        <top style="thin">
          <color auto="1"/>
        </top>
        <bottom style="thin">
          <color auto="1"/>
        </bottom>
      </border>
    </dxf>
    <dxf>
      <fill>
        <patternFill patternType="solid">
          <bgColor theme="3" tint="0.79995117038483843"/>
        </patternFill>
      </fill>
      <border>
        <left style="thin">
          <color auto="1"/>
        </left>
        <right style="thin">
          <color auto="1"/>
        </right>
        <top style="thin">
          <color auto="1"/>
        </top>
        <bottom style="thin">
          <color auto="1"/>
        </bottom>
      </border>
    </dxf>
    <dxf>
      <fill>
        <patternFill patternType="solid">
          <bgColor theme="3" tint="0.79995117038483843"/>
        </patternFill>
      </fill>
      <border>
        <left style="thin">
          <color auto="1"/>
        </left>
        <right style="thin">
          <color auto="1"/>
        </right>
        <top style="thin">
          <color auto="1"/>
        </top>
        <bottom style="thin">
          <color auto="1"/>
        </bottom>
      </border>
    </dxf>
    <dxf>
      <fill>
        <patternFill patternType="solid">
          <bgColor theme="3" tint="0.79995117038483843"/>
        </patternFill>
      </fill>
      <border>
        <left style="thin">
          <color auto="1"/>
        </left>
        <right style="thin">
          <color auto="1"/>
        </right>
        <top style="thin">
          <color auto="1"/>
        </top>
        <bottom style="thin">
          <color auto="1"/>
        </bottom>
      </border>
    </dxf>
    <dxf>
      <fill>
        <patternFill patternType="solid">
          <bgColor theme="3" tint="0.79995117038483843"/>
        </patternFill>
      </fill>
      <border>
        <left style="thin">
          <color auto="1"/>
        </left>
        <right style="thin">
          <color auto="1"/>
        </right>
        <top style="thin">
          <color auto="1"/>
        </top>
        <bottom style="thin">
          <color auto="1"/>
        </bottom>
      </border>
    </dxf>
    <dxf>
      <fill>
        <patternFill patternType="solid">
          <bgColor theme="3" tint="0.79995117038483843"/>
        </patternFill>
      </fill>
      <border>
        <left style="thin">
          <color auto="1"/>
        </left>
        <right style="thin">
          <color auto="1"/>
        </right>
        <top style="thin">
          <color auto="1"/>
        </top>
        <bottom style="thin">
          <color auto="1"/>
        </bottom>
      </border>
    </dxf>
    <dxf>
      <fill>
        <patternFill patternType="solid">
          <bgColor theme="3" tint="0.79995117038483843"/>
        </patternFill>
      </fill>
      <border>
        <left style="thin">
          <color auto="1"/>
        </left>
        <right style="thin">
          <color auto="1"/>
        </right>
        <top style="thin">
          <color auto="1"/>
        </top>
        <bottom style="thin">
          <color auto="1"/>
        </bottom>
      </border>
    </dxf>
    <dxf>
      <fill>
        <patternFill patternType="solid">
          <bgColor theme="3" tint="0.79995117038483843"/>
        </patternFill>
      </fill>
      <border>
        <left style="thin">
          <color auto="1"/>
        </left>
        <right style="thin">
          <color auto="1"/>
        </right>
        <top style="thin">
          <color auto="1"/>
        </top>
        <bottom style="thin">
          <color auto="1"/>
        </bottom>
      </border>
    </dxf>
    <dxf>
      <fill>
        <patternFill patternType="solid">
          <bgColor theme="3" tint="0.79995117038483843"/>
        </patternFill>
      </fill>
      <border>
        <left style="thin">
          <color auto="1"/>
        </left>
        <right style="thin">
          <color auto="1"/>
        </right>
        <top style="thin">
          <color auto="1"/>
        </top>
        <bottom style="thin">
          <color auto="1"/>
        </bottom>
      </border>
    </dxf>
    <dxf>
      <fill>
        <patternFill patternType="solid">
          <bgColor theme="3" tint="0.79995117038483843"/>
        </patternFill>
      </fill>
      <border>
        <left style="thin">
          <color auto="1"/>
        </left>
        <right style="thin">
          <color auto="1"/>
        </right>
        <top style="thin">
          <color auto="1"/>
        </top>
        <bottom style="thin">
          <color auto="1"/>
        </bottom>
      </border>
    </dxf>
    <dxf>
      <fill>
        <patternFill patternType="solid">
          <bgColor theme="3" tint="0.79995117038483843"/>
        </patternFill>
      </fill>
      <border>
        <left style="thin">
          <color auto="1"/>
        </left>
        <right style="thin">
          <color auto="1"/>
        </right>
        <top style="thin">
          <color auto="1"/>
        </top>
        <bottom style="thin">
          <color auto="1"/>
        </bottom>
      </border>
    </dxf>
    <dxf>
      <fill>
        <patternFill patternType="solid">
          <bgColor theme="3" tint="0.79995117038483843"/>
        </patternFill>
      </fill>
      <border>
        <left style="thin">
          <color auto="1"/>
        </left>
        <right style="thin">
          <color auto="1"/>
        </right>
        <top style="thin">
          <color auto="1"/>
        </top>
        <bottom style="thin">
          <color auto="1"/>
        </bottom>
      </border>
    </dxf>
    <dxf>
      <fill>
        <patternFill patternType="solid">
          <bgColor theme="3" tint="0.79995117038483843"/>
        </patternFill>
      </fill>
      <border>
        <left style="thin">
          <color auto="1"/>
        </left>
        <right style="thin">
          <color auto="1"/>
        </right>
        <top style="thin">
          <color auto="1"/>
        </top>
        <bottom style="thin">
          <color auto="1"/>
        </bottom>
      </border>
    </dxf>
    <dxf>
      <fill>
        <patternFill patternType="solid">
          <bgColor theme="3" tint="0.79995117038483843"/>
        </patternFill>
      </fill>
      <border>
        <left style="thin">
          <color auto="1"/>
        </left>
        <right style="thin">
          <color auto="1"/>
        </right>
        <top style="thin">
          <color auto="1"/>
        </top>
        <bottom style="thin">
          <color auto="1"/>
        </bottom>
      </border>
    </dxf>
    <dxf>
      <fill>
        <patternFill patternType="solid">
          <bgColor theme="3" tint="0.79995117038483843"/>
        </patternFill>
      </fill>
      <border>
        <left style="thin">
          <color auto="1"/>
        </left>
        <right style="thin">
          <color auto="1"/>
        </right>
        <top style="thin">
          <color auto="1"/>
        </top>
        <bottom style="thin">
          <color auto="1"/>
        </bottom>
      </border>
    </dxf>
    <dxf>
      <fill>
        <patternFill patternType="solid">
          <bgColor theme="3" tint="0.79995117038483843"/>
        </patternFill>
      </fill>
      <border>
        <left style="thin">
          <color auto="1"/>
        </left>
        <right style="thin">
          <color auto="1"/>
        </right>
        <top style="thin">
          <color auto="1"/>
        </top>
        <bottom style="thin">
          <color auto="1"/>
        </bottom>
      </border>
    </dxf>
    <dxf>
      <font>
        <b/>
        <i val="0"/>
        <strike val="0"/>
        <color auto="1"/>
      </font>
      <fill>
        <patternFill patternType="solid">
          <bgColor theme="9" tint="0.79995117038483843"/>
        </patternFill>
      </fill>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font>
        <b/>
        <i val="0"/>
        <strike val="0"/>
        <color auto="1"/>
      </font>
      <fill>
        <patternFill patternType="solid">
          <bgColor theme="9" tint="0.79995117038483843"/>
        </patternFill>
      </fill>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font>
        <color theme="1"/>
      </font>
      <fill>
        <patternFill patternType="solid">
          <bgColor theme="9" tint="0.59996337778862885"/>
        </patternFill>
      </fill>
      <border>
        <left style="thin">
          <color auto="1"/>
        </left>
        <right style="thin">
          <color auto="1"/>
        </right>
        <top style="thin">
          <color auto="1"/>
        </top>
        <bottom style="thin">
          <color auto="1"/>
        </bottom>
      </border>
    </dxf>
    <dxf>
      <font>
        <b/>
        <i val="0"/>
        <color theme="1"/>
      </font>
      <fill>
        <patternFill patternType="solid">
          <bgColor theme="9" tint="0.59996337778862885"/>
        </patternFill>
      </fill>
      <border>
        <left style="thin">
          <color auto="1"/>
        </left>
        <right style="thin">
          <color auto="1"/>
        </right>
        <top style="thin">
          <color auto="1"/>
        </top>
        <bottom style="thin">
          <color auto="1"/>
        </bottom>
      </border>
    </dxf>
    <dxf>
      <font>
        <b/>
        <i val="0"/>
        <color theme="0"/>
      </font>
      <fill>
        <patternFill patternType="solid">
          <bgColor rgb="FFFF0000"/>
        </patternFill>
      </fill>
    </dxf>
    <dxf>
      <alignment horizontal="center"/>
    </dxf>
    <dxf>
      <font>
        <b val="0"/>
        <i val="0"/>
        <strike val="0"/>
        <u val="none"/>
        <sz val="11"/>
        <color theme="1"/>
        <name val="Calibri"/>
        <family val="2"/>
        <scheme val="none"/>
      </font>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font>
        <color theme="0"/>
      </font>
      <border>
        <left/>
        <right/>
        <top/>
        <bottom/>
      </border>
    </dxf>
    <dxf>
      <font>
        <color theme="0"/>
      </font>
      <border>
        <left/>
        <right/>
        <top/>
        <bottom/>
      </border>
    </dxf>
    <dxf>
      <font>
        <color rgb="FFFF0000"/>
      </font>
    </dxf>
    <dxf>
      <font>
        <color rgb="FFFF0000"/>
      </font>
    </dxf>
    <dxf>
      <font>
        <color rgb="FF9C0006"/>
      </font>
      <fill>
        <patternFill patternType="solid">
          <bgColor rgb="FFFFC7CE"/>
        </patternFill>
      </fill>
    </dxf>
    <dxf>
      <font>
        <color rgb="FF9C0006"/>
      </font>
      <fill>
        <patternFill patternType="solid">
          <bgColor rgb="FFFFC7CE"/>
        </patternFill>
      </fill>
    </dxf>
  </dxfs>
  <tableStyles count="0" defaultTableStyle="TableStyleMedium9" defaultPivotStyle="PivotStyleLight16"/>
  <colors>
    <mruColors>
      <color rgb="FF3276CA"/>
      <color rgb="FFC0504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 Id="rId8" Type="http://schemas.openxmlformats.org/officeDocument/2006/relationships/worksheet" Target="worksheets/sheet8.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6.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7.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2"/>
            </a:solidFill>
            <a:ln>
              <a:noFill/>
            </a:ln>
            <a:effectLst/>
          </c:spPr>
          <c:invertIfNegative val="0"/>
          <c:dPt>
            <c:idx val="1"/>
            <c:invertIfNegative val="0"/>
            <c:bubble3D val="0"/>
            <c:spPr>
              <a:solidFill>
                <a:srgbClr val="92D050"/>
              </a:solidFill>
              <a:ln>
                <a:noFill/>
              </a:ln>
              <a:effectLst/>
            </c:spPr>
            <c:extLst>
              <c:ext xmlns:c16="http://schemas.microsoft.com/office/drawing/2014/chart" uri="{C3380CC4-5D6E-409C-BE32-E72D297353CC}">
                <c16:uniqueId val="{00000001-15DB-4C6D-88A0-3A644B7F31D1}"/>
              </c:ext>
            </c:extLst>
          </c:dPt>
          <c:dLbls>
            <c:dLbl>
              <c:idx val="0"/>
              <c:tx>
                <c:strRef>
                  <c:f>'SIP GRAPH'!$K$8</c:f>
                  <c:strCache>
                    <c:ptCount val="1"/>
                    <c:pt idx="0">
                      <c:v>49.59 lakhs</c:v>
                    </c:pt>
                  </c:strCache>
                </c:strRef>
              </c:tx>
              <c:dLblPos val="outEnd"/>
              <c:showLegendKey val="0"/>
              <c:showVal val="1"/>
              <c:showCatName val="0"/>
              <c:showSerName val="0"/>
              <c:showPercent val="0"/>
              <c:showBubbleSize val="0"/>
              <c:extLst>
                <c:ext xmlns:c15="http://schemas.microsoft.com/office/drawing/2012/chart" uri="{CE6537A1-D6FC-4f65-9D91-7224C49458BB}">
                  <c15:dlblFieldTable>
                    <c15:dlblFTEntry>
                      <c15:txfldGUID>{B2E68AF9-B62F-458B-AE22-088576381239}</c15:txfldGUID>
                      <c15:f>'SIP GRAPH'!$K$8</c15:f>
                      <c15:dlblFieldTableCache>
                        <c:ptCount val="1"/>
                        <c:pt idx="0">
                          <c:v>49.59 lakhs</c:v>
                        </c:pt>
                      </c15:dlblFieldTableCache>
                    </c15:dlblFTEntry>
                  </c15:dlblFieldTable>
                  <c15:showDataLabelsRange val="0"/>
                </c:ext>
                <c:ext xmlns:c16="http://schemas.microsoft.com/office/drawing/2014/chart" uri="{C3380CC4-5D6E-409C-BE32-E72D297353CC}">
                  <c16:uniqueId val="{00000002-15DB-4C6D-88A0-3A644B7F31D1}"/>
                </c:ext>
              </c:extLst>
            </c:dLbl>
            <c:dLbl>
              <c:idx val="1"/>
              <c:tx>
                <c:strRef>
                  <c:f>'SIP GRAPH'!$L$8</c:f>
                  <c:strCache>
                    <c:ptCount val="1"/>
                    <c:pt idx="0">
                      <c:v>95.19 lakhs</c:v>
                    </c:pt>
                  </c:strCache>
                </c:strRef>
              </c:tx>
              <c:dLblPos val="outEnd"/>
              <c:showLegendKey val="0"/>
              <c:showVal val="1"/>
              <c:showCatName val="0"/>
              <c:showSerName val="0"/>
              <c:showPercent val="0"/>
              <c:showBubbleSize val="0"/>
              <c:extLst>
                <c:ext xmlns:c15="http://schemas.microsoft.com/office/drawing/2012/chart" uri="{CE6537A1-D6FC-4f65-9D91-7224C49458BB}">
                  <c15:dlblFieldTable>
                    <c15:dlblFTEntry>
                      <c15:txfldGUID>{A7E768B0-3205-4170-93C0-A751E842BDEC}</c15:txfldGUID>
                      <c15:f>'SIP GRAPH'!$L$8</c15:f>
                      <c15:dlblFieldTableCache>
                        <c:ptCount val="1"/>
                        <c:pt idx="0">
                          <c:v>95.19 lakhs</c:v>
                        </c:pt>
                      </c15:dlblFieldTableCache>
                    </c15:dlblFTEntry>
                  </c15:dlblFieldTable>
                  <c15:showDataLabelsRange val="0"/>
                </c:ext>
                <c:ext xmlns:c16="http://schemas.microsoft.com/office/drawing/2014/chart" uri="{C3380CC4-5D6E-409C-BE32-E72D297353CC}">
                  <c16:uniqueId val="{00000001-15DB-4C6D-88A0-3A644B7F31D1}"/>
                </c:ext>
              </c:extLst>
            </c:dLbl>
            <c:spPr>
              <a:noFill/>
              <a:ln>
                <a:noFill/>
              </a:ln>
              <a:effectLst/>
            </c:spPr>
            <c:txPr>
              <a:bodyPr rot="0" spcFirstLastPara="1" vertOverflow="ellipsis" vert="horz" wrap="square" lIns="38100" tIns="19050" rIns="38100" bIns="19050" anchor="ctr" anchorCtr="1">
                <a:spAutoFit/>
              </a:bodyPr>
              <a:lstStyle/>
              <a:p>
                <a:pPr>
                  <a:defRPr lang="en-US" sz="10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'SIP GRAPH'!$K$4:$L$4</c:f>
              <c:strCache>
                <c:ptCount val="2"/>
                <c:pt idx="0">
                  <c:v>FD</c:v>
                </c:pt>
                <c:pt idx="1">
                  <c:v>MF</c:v>
                </c:pt>
              </c:strCache>
            </c:strRef>
          </c:cat>
          <c:val>
            <c:numRef>
              <c:f>'SIP GRAPH'!$K$5:$L$5</c:f>
              <c:numCache>
                <c:formatCode>0.00</c:formatCode>
                <c:ptCount val="2"/>
                <c:pt idx="0">
                  <c:v>49.594379613730794</c:v>
                </c:pt>
                <c:pt idx="1">
                  <c:v>95.18627984739382</c:v>
                </c:pt>
              </c:numCache>
            </c:numRef>
          </c:val>
          <c:extLst>
            <c:ext xmlns:c16="http://schemas.microsoft.com/office/drawing/2014/chart" uri="{C3380CC4-5D6E-409C-BE32-E72D297353CC}">
              <c16:uniqueId val="{00000003-15DB-4C6D-88A0-3A644B7F31D1}"/>
            </c:ext>
          </c:extLst>
        </c:ser>
        <c:dLbls>
          <c:showLegendKey val="0"/>
          <c:showVal val="0"/>
          <c:showCatName val="0"/>
          <c:showSerName val="0"/>
          <c:showPercent val="0"/>
          <c:showBubbleSize val="0"/>
        </c:dLbls>
        <c:gapWidth val="50"/>
        <c:overlap val="-27"/>
        <c:axId val="327810272"/>
        <c:axId val="327817720"/>
      </c:barChart>
      <c:catAx>
        <c:axId val="327810272"/>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lang="en-US" sz="1200" b="1" i="0" u="none" strike="noStrike" kern="1200" baseline="0">
                <a:solidFill>
                  <a:schemeClr val="tx1">
                    <a:lumMod val="65000"/>
                    <a:lumOff val="35000"/>
                  </a:schemeClr>
                </a:solidFill>
                <a:latin typeface="+mn-lt"/>
                <a:ea typeface="+mn-ea"/>
                <a:cs typeface="+mn-cs"/>
              </a:defRPr>
            </a:pPr>
            <a:endParaRPr lang="en-US"/>
          </a:p>
        </c:txPr>
        <c:crossAx val="327817720"/>
        <c:crosses val="autoZero"/>
        <c:auto val="1"/>
        <c:lblAlgn val="ctr"/>
        <c:lblOffset val="100"/>
        <c:noMultiLvlLbl val="0"/>
      </c:catAx>
      <c:valAx>
        <c:axId val="327817720"/>
        <c:scaling>
          <c:orientation val="minMax"/>
        </c:scaling>
        <c:delete val="0"/>
        <c:axPos val="l"/>
        <c:numFmt formatCode="[&gt;=10000000]##\,##\,##\,##0;[&gt;=100000]\ ##\,##\,##0;##,##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lang="en-US" sz="900" b="0" i="0" u="none" strike="noStrike" kern="1200" baseline="0">
                <a:solidFill>
                  <a:schemeClr val="tx1">
                    <a:lumMod val="65000"/>
                    <a:lumOff val="35000"/>
                  </a:schemeClr>
                </a:solidFill>
                <a:latin typeface="+mn-lt"/>
                <a:ea typeface="+mn-ea"/>
                <a:cs typeface="+mn-cs"/>
              </a:defRPr>
            </a:pPr>
            <a:endParaRPr lang="en-US"/>
          </a:p>
        </c:txPr>
        <c:crossAx val="3278102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solidFill>
      <a:round/>
    </a:ln>
    <a:effectLst/>
  </c:spPr>
  <c:txPr>
    <a:bodyPr/>
    <a:lstStyle/>
    <a:p>
      <a:pPr>
        <a:defRPr lang="en-US"/>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2"/>
            </a:solidFill>
            <a:ln>
              <a:noFill/>
            </a:ln>
            <a:effectLst/>
          </c:spPr>
          <c:invertIfNegative val="0"/>
          <c:dPt>
            <c:idx val="1"/>
            <c:invertIfNegative val="0"/>
            <c:bubble3D val="0"/>
            <c:spPr>
              <a:solidFill>
                <a:srgbClr val="92D050"/>
              </a:solidFill>
              <a:ln>
                <a:noFill/>
              </a:ln>
              <a:effectLst/>
            </c:spPr>
            <c:extLst>
              <c:ext xmlns:c16="http://schemas.microsoft.com/office/drawing/2014/chart" uri="{C3380CC4-5D6E-409C-BE32-E72D297353CC}">
                <c16:uniqueId val="{00000001-2166-44F9-A868-3071B349D0E9}"/>
              </c:ext>
            </c:extLst>
          </c:dPt>
          <c:dLbls>
            <c:spPr>
              <a:noFill/>
              <a:ln>
                <a:noFill/>
              </a:ln>
              <a:effectLst/>
            </c:spPr>
            <c:txPr>
              <a:bodyPr rot="0" spcFirstLastPara="1" vertOverflow="ellipsis" vert="horz" wrap="square" lIns="38100" tIns="19050" rIns="38100" bIns="19050" anchor="ctr" anchorCtr="1">
                <a:spAutoFit/>
              </a:bodyPr>
              <a:lstStyle/>
              <a:p>
                <a:pPr>
                  <a:defRPr lang="en-US" sz="10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'SIP DELAY'!$J$5:$K$5</c:f>
              <c:strCache>
                <c:ptCount val="2"/>
                <c:pt idx="0">
                  <c:v>Saved now</c:v>
                </c:pt>
                <c:pt idx="1">
                  <c:v>Opportunity cost</c:v>
                </c:pt>
              </c:strCache>
            </c:strRef>
          </c:cat>
          <c:val>
            <c:numRef>
              <c:f>'SIP DELAY'!$J$6:$K$6</c:f>
              <c:numCache>
                <c:formatCode>[&gt;=10000000]##\,##\,##\,##0;[&gt;=100000]\ ##\,##\,##0;##,##0</c:formatCode>
                <c:ptCount val="2"/>
                <c:pt idx="0">
                  <c:v>120000</c:v>
                </c:pt>
                <c:pt idx="1">
                  <c:v>282423.90261796897</c:v>
                </c:pt>
              </c:numCache>
            </c:numRef>
          </c:val>
          <c:extLst>
            <c:ext xmlns:c16="http://schemas.microsoft.com/office/drawing/2014/chart" uri="{C3380CC4-5D6E-409C-BE32-E72D297353CC}">
              <c16:uniqueId val="{00000002-2166-44F9-A868-3071B349D0E9}"/>
            </c:ext>
          </c:extLst>
        </c:ser>
        <c:dLbls>
          <c:showLegendKey val="0"/>
          <c:showVal val="0"/>
          <c:showCatName val="0"/>
          <c:showSerName val="0"/>
          <c:showPercent val="0"/>
          <c:showBubbleSize val="0"/>
        </c:dLbls>
        <c:gapWidth val="50"/>
        <c:overlap val="-27"/>
        <c:axId val="327811056"/>
        <c:axId val="327810664"/>
      </c:barChart>
      <c:catAx>
        <c:axId val="327811056"/>
        <c:scaling>
          <c:orientation val="minMax"/>
        </c:scaling>
        <c:delete val="0"/>
        <c:axPos val="b"/>
        <c:numFmt formatCode="General" sourceLinked="1"/>
        <c:majorTickMark val="out"/>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lang="en-US" sz="1200" b="1" i="0" u="none" strike="noStrike" kern="1200" baseline="0">
                <a:solidFill>
                  <a:schemeClr val="tx1">
                    <a:lumMod val="65000"/>
                    <a:lumOff val="35000"/>
                  </a:schemeClr>
                </a:solidFill>
                <a:latin typeface="+mn-lt"/>
                <a:ea typeface="+mn-ea"/>
                <a:cs typeface="+mn-cs"/>
              </a:defRPr>
            </a:pPr>
            <a:endParaRPr lang="en-US"/>
          </a:p>
        </c:txPr>
        <c:crossAx val="327810664"/>
        <c:crosses val="autoZero"/>
        <c:auto val="1"/>
        <c:lblAlgn val="ctr"/>
        <c:lblOffset val="100"/>
        <c:noMultiLvlLbl val="0"/>
      </c:catAx>
      <c:valAx>
        <c:axId val="327810664"/>
        <c:scaling>
          <c:orientation val="minMax"/>
          <c:min val="0"/>
        </c:scaling>
        <c:delete val="0"/>
        <c:axPos val="l"/>
        <c:numFmt formatCode="[&gt;=10000000]##\,##\,##\,##0;[&gt;=100000]\ ##\,##\,##0;##,##0" sourceLinked="0"/>
        <c:majorTickMark val="none"/>
        <c:minorTickMark val="none"/>
        <c:tickLblPos val="nextTo"/>
        <c:spPr>
          <a:noFill/>
          <a:ln>
            <a:solidFill>
              <a:sysClr val="windowText" lastClr="000000"/>
            </a:solidFill>
          </a:ln>
          <a:effectLst/>
        </c:spPr>
        <c:txPr>
          <a:bodyPr rot="-60000000" spcFirstLastPara="1" vertOverflow="ellipsis" vert="horz" wrap="square" anchor="ctr" anchorCtr="1"/>
          <a:lstStyle/>
          <a:p>
            <a:pPr>
              <a:defRPr lang="en-US" sz="900" b="0" i="0" u="none" strike="noStrike" kern="1200" baseline="0">
                <a:solidFill>
                  <a:schemeClr val="tx1">
                    <a:lumMod val="65000"/>
                    <a:lumOff val="35000"/>
                  </a:schemeClr>
                </a:solidFill>
                <a:latin typeface="+mn-lt"/>
                <a:ea typeface="+mn-ea"/>
                <a:cs typeface="+mn-cs"/>
              </a:defRPr>
            </a:pPr>
            <a:endParaRPr lang="en-US"/>
          </a:p>
        </c:txPr>
        <c:crossAx val="327811056"/>
        <c:crosses val="autoZero"/>
        <c:crossBetween val="between"/>
      </c:valAx>
      <c:spPr>
        <a:noFill/>
        <a:ln>
          <a:noFill/>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lang="en-US"/>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2"/>
            </a:solidFill>
            <a:ln>
              <a:noFill/>
            </a:ln>
            <a:effectLst/>
          </c:spPr>
          <c:invertIfNegative val="0"/>
          <c:dPt>
            <c:idx val="1"/>
            <c:invertIfNegative val="0"/>
            <c:bubble3D val="0"/>
            <c:spPr>
              <a:solidFill>
                <a:srgbClr val="92D050"/>
              </a:solidFill>
              <a:ln>
                <a:noFill/>
              </a:ln>
              <a:effectLst/>
            </c:spPr>
            <c:extLst>
              <c:ext xmlns:c16="http://schemas.microsoft.com/office/drawing/2014/chart" uri="{C3380CC4-5D6E-409C-BE32-E72D297353CC}">
                <c16:uniqueId val="{00000001-8695-47BD-9350-7A43254D569E}"/>
              </c:ext>
            </c:extLst>
          </c:dPt>
          <c:dLbls>
            <c:spPr>
              <a:noFill/>
              <a:ln>
                <a:noFill/>
              </a:ln>
              <a:effectLst/>
            </c:spPr>
            <c:txPr>
              <a:bodyPr rot="0" spcFirstLastPara="1" vertOverflow="ellipsis" vert="horz" wrap="square" lIns="38100" tIns="19050" rIns="38100" bIns="19050" anchor="ctr" anchorCtr="1">
                <a:spAutoFit/>
              </a:bodyPr>
              <a:lstStyle/>
              <a:p>
                <a:pPr>
                  <a:defRPr lang="en-US" sz="10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'SIP TARGET'!$L$14:$M$14</c:f>
              <c:strCache>
                <c:ptCount val="2"/>
                <c:pt idx="0">
                  <c:v>Through FD</c:v>
                </c:pt>
                <c:pt idx="1">
                  <c:v>Through MF</c:v>
                </c:pt>
              </c:strCache>
            </c:strRef>
          </c:cat>
          <c:val>
            <c:numRef>
              <c:f>'SIP TARGET'!$L$15:$M$15</c:f>
              <c:numCache>
                <c:formatCode>[&gt;=10000000]##\,##\,##\,##0;[&gt;=100000]\ ##\,##\,##0;##,##0</c:formatCode>
                <c:ptCount val="2"/>
                <c:pt idx="0">
                  <c:v>27815.969896228758</c:v>
                </c:pt>
                <c:pt idx="1">
                  <c:v>16116.803850738457</c:v>
                </c:pt>
              </c:numCache>
            </c:numRef>
          </c:val>
          <c:extLst>
            <c:ext xmlns:c16="http://schemas.microsoft.com/office/drawing/2014/chart" uri="{C3380CC4-5D6E-409C-BE32-E72D297353CC}">
              <c16:uniqueId val="{00000002-8695-47BD-9350-7A43254D569E}"/>
            </c:ext>
          </c:extLst>
        </c:ser>
        <c:dLbls>
          <c:showLegendKey val="0"/>
          <c:showVal val="0"/>
          <c:showCatName val="0"/>
          <c:showSerName val="0"/>
          <c:showPercent val="0"/>
          <c:showBubbleSize val="0"/>
        </c:dLbls>
        <c:gapWidth val="50"/>
        <c:overlap val="-27"/>
        <c:axId val="327816152"/>
        <c:axId val="327811448"/>
      </c:barChart>
      <c:catAx>
        <c:axId val="327816152"/>
        <c:scaling>
          <c:orientation val="minMax"/>
        </c:scaling>
        <c:delete val="0"/>
        <c:axPos val="b"/>
        <c:numFmt formatCode="General" sourceLinked="1"/>
        <c:majorTickMark val="out"/>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lang="en-US" sz="1200" b="1" i="0" u="none" strike="noStrike" kern="1200" baseline="0">
                <a:solidFill>
                  <a:schemeClr val="tx1">
                    <a:lumMod val="65000"/>
                    <a:lumOff val="35000"/>
                  </a:schemeClr>
                </a:solidFill>
                <a:latin typeface="+mn-lt"/>
                <a:ea typeface="+mn-ea"/>
                <a:cs typeface="+mn-cs"/>
              </a:defRPr>
            </a:pPr>
            <a:endParaRPr lang="en-US"/>
          </a:p>
        </c:txPr>
        <c:crossAx val="327811448"/>
        <c:crosses val="autoZero"/>
        <c:auto val="1"/>
        <c:lblAlgn val="ctr"/>
        <c:lblOffset val="100"/>
        <c:noMultiLvlLbl val="0"/>
      </c:catAx>
      <c:valAx>
        <c:axId val="327811448"/>
        <c:scaling>
          <c:orientation val="minMax"/>
        </c:scaling>
        <c:delete val="0"/>
        <c:axPos val="l"/>
        <c:numFmt formatCode="[&gt;=10000000]##\,##\,##\,##0;[&gt;=100000]\ ##\,##\,##0;##,##0" sourceLinked="0"/>
        <c:majorTickMark val="none"/>
        <c:minorTickMark val="none"/>
        <c:tickLblPos val="nextTo"/>
        <c:spPr>
          <a:noFill/>
          <a:ln>
            <a:solidFill>
              <a:sysClr val="windowText" lastClr="000000"/>
            </a:solidFill>
          </a:ln>
          <a:effectLst/>
        </c:spPr>
        <c:txPr>
          <a:bodyPr rot="-60000000" spcFirstLastPara="1" vertOverflow="ellipsis" vert="horz" wrap="square" anchor="ctr" anchorCtr="1"/>
          <a:lstStyle/>
          <a:p>
            <a:pPr>
              <a:defRPr lang="en-US" sz="900" b="0" i="0" u="none" strike="noStrike" kern="1200" baseline="0">
                <a:solidFill>
                  <a:schemeClr val="tx1">
                    <a:lumMod val="65000"/>
                    <a:lumOff val="35000"/>
                  </a:schemeClr>
                </a:solidFill>
                <a:latin typeface="+mn-lt"/>
                <a:ea typeface="+mn-ea"/>
                <a:cs typeface="+mn-cs"/>
              </a:defRPr>
            </a:pPr>
            <a:endParaRPr lang="en-US"/>
          </a:p>
        </c:txPr>
        <c:crossAx val="32781615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solidFill>
      <a:round/>
    </a:ln>
    <a:effectLst/>
  </c:spPr>
  <c:txPr>
    <a:bodyPr/>
    <a:lstStyle/>
    <a:p>
      <a:pPr>
        <a:defRPr lang="en-US"/>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spPr>
            <a:ln w="28575" cap="rnd">
              <a:solidFill>
                <a:schemeClr val="accent1"/>
              </a:solidFill>
              <a:round/>
            </a:ln>
            <a:effectLst/>
          </c:spPr>
          <c:marker>
            <c:symbol val="none"/>
          </c:marker>
          <c:val>
            <c:numRef>
              <c:f>RETIREMENT!$B$20:$B$44</c:f>
              <c:numCache>
                <c:formatCode>General</c:formatCode>
                <c:ptCount val="2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numCache>
            </c:numRef>
          </c:val>
          <c:smooth val="0"/>
          <c:extLst>
            <c:ext xmlns:c16="http://schemas.microsoft.com/office/drawing/2014/chart" uri="{C3380CC4-5D6E-409C-BE32-E72D297353CC}">
              <c16:uniqueId val="{00000000-E123-49F2-91AA-33EC1EF083A6}"/>
            </c:ext>
          </c:extLst>
        </c:ser>
        <c:ser>
          <c:idx val="1"/>
          <c:order val="1"/>
          <c:spPr>
            <a:ln w="28575" cap="rnd">
              <a:solidFill>
                <a:schemeClr val="accent2"/>
              </a:solidFill>
              <a:round/>
            </a:ln>
            <a:effectLst/>
          </c:spPr>
          <c:marker>
            <c:symbol val="none"/>
          </c:marker>
          <c:val>
            <c:numRef>
              <c:f>RETIREMENT!$F$20:$F$44</c:f>
              <c:numCache>
                <c:formatCode>_ * #,##0_ ;_ * \-#,##0_ ;_ * "-"??_ ;_ @_ </c:formatCode>
                <c:ptCount val="25"/>
                <c:pt idx="0">
                  <c:v>49942731.586366437</c:v>
                </c:pt>
                <c:pt idx="1">
                  <c:v>51255065.694366343</c:v>
                </c:pt>
                <c:pt idx="2">
                  <c:v>52484570.621682577</c:v>
                </c:pt>
                <c:pt idx="3">
                  <c:v>53611472.920207798</c:v>
                </c:pt>
                <c:pt idx="4">
                  <c:v>54613496.968030371</c:v>
                </c:pt>
                <c:pt idx="5">
                  <c:v>55465600.374673165</c:v>
                </c:pt>
                <c:pt idx="6">
                  <c:v>56139683.709291413</c:v>
                </c:pt>
                <c:pt idx="7">
                  <c:v>56604272.182004228</c:v>
                </c:pt>
                <c:pt idx="8">
                  <c:v>56824166.696851939</c:v>
                </c:pt>
                <c:pt idx="9">
                  <c:v>56760061.464707576</c:v>
                </c:pt>
                <c:pt idx="10">
                  <c:v>56368125.114239186</c:v>
                </c:pt>
                <c:pt idx="11">
                  <c:v>55599541.966998175</c:v>
                </c:pt>
                <c:pt idx="12">
                  <c:v>54400009.847031273</c:v>
                </c:pt>
                <c:pt idx="13">
                  <c:v>52709190.474054143</c:v>
                </c:pt>
                <c:pt idx="14">
                  <c:v>50460108.139987074</c:v>
                </c:pt>
                <c:pt idx="15">
                  <c:v>47578491.989155233</c:v>
                </c:pt>
                <c:pt idx="16">
                  <c:v>43982056.810114689</c:v>
                </c:pt>
                <c:pt idx="17">
                  <c:v>39579716.7990788</c:v>
                </c:pt>
                <c:pt idx="18">
                  <c:v>34270726.268250883</c:v>
                </c:pt>
                <c:pt idx="19">
                  <c:v>27943740.743723933</c:v>
                </c:pt>
                <c:pt idx="20">
                  <c:v>20475791.323415734</c:v>
                </c:pt>
                <c:pt idx="21">
                  <c:v>11731164.541896451</c:v>
                </c:pt>
                <c:pt idx="22">
                  <c:v>1560179.3117381458</c:v>
                </c:pt>
                <c:pt idx="23">
                  <c:v>-10202148.224378526</c:v>
                </c:pt>
                <c:pt idx="24">
                  <c:v>-23737561.895058434</c:v>
                </c:pt>
              </c:numCache>
            </c:numRef>
          </c:val>
          <c:smooth val="0"/>
          <c:extLst>
            <c:ext xmlns:c16="http://schemas.microsoft.com/office/drawing/2014/chart" uri="{C3380CC4-5D6E-409C-BE32-E72D297353CC}">
              <c16:uniqueId val="{00000001-E123-49F2-91AA-33EC1EF083A6}"/>
            </c:ext>
          </c:extLst>
        </c:ser>
        <c:dLbls>
          <c:showLegendKey val="0"/>
          <c:showVal val="0"/>
          <c:showCatName val="0"/>
          <c:showSerName val="0"/>
          <c:showPercent val="0"/>
          <c:showBubbleSize val="0"/>
        </c:dLbls>
        <c:smooth val="0"/>
        <c:axId val="327816936"/>
        <c:axId val="327817328"/>
      </c:lineChart>
      <c:catAx>
        <c:axId val="327816936"/>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en-US" sz="900" b="0" i="0" u="none" strike="noStrike" kern="1200" baseline="0">
                <a:solidFill>
                  <a:schemeClr val="tx1">
                    <a:lumMod val="65000"/>
                    <a:lumOff val="35000"/>
                  </a:schemeClr>
                </a:solidFill>
                <a:latin typeface="+mn-lt"/>
                <a:ea typeface="+mn-ea"/>
                <a:cs typeface="+mn-cs"/>
              </a:defRPr>
            </a:pPr>
            <a:endParaRPr lang="en-US"/>
          </a:p>
        </c:txPr>
        <c:crossAx val="327817328"/>
        <c:crosses val="autoZero"/>
        <c:auto val="1"/>
        <c:lblAlgn val="ctr"/>
        <c:lblOffset val="100"/>
        <c:noMultiLvlLbl val="0"/>
      </c:catAx>
      <c:valAx>
        <c:axId val="327817328"/>
        <c:scaling>
          <c:orientation val="minMax"/>
          <c:min val="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lang="en-US" sz="900" b="0" i="0" u="none" strike="noStrike" kern="1200" baseline="0">
                <a:solidFill>
                  <a:schemeClr val="tx1">
                    <a:lumMod val="65000"/>
                    <a:lumOff val="35000"/>
                  </a:schemeClr>
                </a:solidFill>
                <a:latin typeface="+mn-lt"/>
                <a:ea typeface="+mn-ea"/>
                <a:cs typeface="+mn-cs"/>
              </a:defRPr>
            </a:pPr>
            <a:endParaRPr lang="en-US"/>
          </a:p>
        </c:txPr>
        <c:crossAx val="327816936"/>
        <c:crosses val="autoZero"/>
        <c:crossBetween val="between"/>
      </c:valAx>
      <c:spPr>
        <a:noFill/>
        <a:ln>
          <a:noFill/>
        </a:ln>
        <a:effectLst/>
      </c:spPr>
    </c:plotArea>
    <c:plotVisOnly val="0"/>
    <c:dispBlanksAs val="gap"/>
    <c:showDLblsOverMax val="0"/>
  </c:chart>
  <c:spPr>
    <a:solidFill>
      <a:schemeClr val="bg1"/>
    </a:solidFill>
    <a:ln w="9525" cap="flat" cmpd="sng" algn="ctr">
      <a:solidFill>
        <a:srgbClr val="C00000"/>
      </a:solidFill>
      <a:round/>
    </a:ln>
    <a:effectLst/>
  </c:spPr>
  <c:txPr>
    <a:bodyPr/>
    <a:lstStyle/>
    <a:p>
      <a:pPr>
        <a:defRPr lang="en-US"/>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SWP_NEW!$A$11</c:f>
              <c:strCache>
                <c:ptCount val="1"/>
                <c:pt idx="0">
                  <c:v>Years</c:v>
                </c:pt>
              </c:strCache>
            </c:strRef>
          </c:tx>
          <c:marker>
            <c:symbol val="none"/>
          </c:marker>
          <c:val>
            <c:numRef>
              <c:f>SWP_NEW!$A$12:$A$36</c:f>
              <c:numCache>
                <c:formatCode>General</c:formatCode>
                <c:ptCount val="2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numCache>
            </c:numRef>
          </c:val>
          <c:smooth val="0"/>
          <c:extLst>
            <c:ext xmlns:c16="http://schemas.microsoft.com/office/drawing/2014/chart" uri="{C3380CC4-5D6E-409C-BE32-E72D297353CC}">
              <c16:uniqueId val="{00000000-BE17-40D4-90EA-76E90A37C1A9}"/>
            </c:ext>
          </c:extLst>
        </c:ser>
        <c:ser>
          <c:idx val="1"/>
          <c:order val="1"/>
          <c:tx>
            <c:strRef>
              <c:f>SWP_NEW!$K$11</c:f>
              <c:strCache>
                <c:ptCount val="1"/>
                <c:pt idx="0">
                  <c:v>EoY*
Corpus</c:v>
                </c:pt>
              </c:strCache>
            </c:strRef>
          </c:tx>
          <c:marker>
            <c:symbol val="none"/>
          </c:marker>
          <c:val>
            <c:numRef>
              <c:f>SWP_NEW!$K$12:$K$36</c:f>
              <c:numCache>
                <c:formatCode>_(* #,##0_);_(* \(#,##0\);_(* "-"??_);_(@_)</c:formatCode>
                <c:ptCount val="25"/>
                <c:pt idx="0">
                  <c:v>5179400</c:v>
                </c:pt>
                <c:pt idx="1">
                  <c:v>5353956.8000000007</c:v>
                </c:pt>
                <c:pt idx="2">
                  <c:v>5521556.4536000015</c:v>
                </c:pt>
                <c:pt idx="3">
                  <c:v>5679755.9960672017</c:v>
                </c:pt>
                <c:pt idx="4">
                  <c:v>5825741.9467600565</c:v>
                </c:pt>
                <c:pt idx="5">
                  <c:v>5956284.0231601624</c:v>
                </c:pt>
                <c:pt idx="6">
                  <c:v>6067683.5392012205</c:v>
                </c:pt>
                <c:pt idx="7">
                  <c:v>6155715.9040759765</c:v>
                </c:pt>
                <c:pt idx="8">
                  <c:v>6215566.5752392933</c:v>
                </c:pt>
                <c:pt idx="9">
                  <c:v>6241759.7502875989</c:v>
                </c:pt>
                <c:pt idx="10">
                  <c:v>6228079.0060970029</c:v>
                </c:pt>
                <c:pt idx="11">
                  <c:v>6167479.0092885718</c:v>
                </c:pt>
                <c:pt idx="12">
                  <c:v>6051987.3289255584</c:v>
                </c:pt>
                <c:pt idx="13">
                  <c:v>5872595.2794137858</c:v>
                </c:pt>
                <c:pt idx="14">
                  <c:v>5619136.6078574592</c:v>
                </c:pt>
                <c:pt idx="15">
                  <c:v>5280152.7144984296</c:v>
                </c:pt>
                <c:pt idx="16">
                  <c:v>4842742.9561015451</c:v>
                </c:pt>
                <c:pt idx="17">
                  <c:v>4292398.4288788782</c:v>
                </c:pt>
                <c:pt idx="18">
                  <c:v>3612817.458267347</c:v>
                </c:pt>
                <c:pt idx="19">
                  <c:v>2785700.8359284368</c:v>
                </c:pt>
                <c:pt idx="20">
                  <c:v>1790524.6378952051</c:v>
                </c:pt>
                <c:pt idx="21">
                  <c:v>604288.22983172815</c:v>
                </c:pt>
                <c:pt idx="22">
                  <c:v>-798765.18633323885</c:v>
                </c:pt>
                <c:pt idx="23">
                  <c:v>-2447458.4080395792</c:v>
                </c:pt>
                <c:pt idx="24">
                  <c:v>-4374023.6804489903</c:v>
                </c:pt>
              </c:numCache>
            </c:numRef>
          </c:val>
          <c:smooth val="0"/>
          <c:extLst>
            <c:ext xmlns:c16="http://schemas.microsoft.com/office/drawing/2014/chart" uri="{C3380CC4-5D6E-409C-BE32-E72D297353CC}">
              <c16:uniqueId val="{00000001-BE17-40D4-90EA-76E90A37C1A9}"/>
            </c:ext>
          </c:extLst>
        </c:ser>
        <c:dLbls>
          <c:showLegendKey val="0"/>
          <c:showVal val="0"/>
          <c:showCatName val="0"/>
          <c:showSerName val="0"/>
          <c:showPercent val="0"/>
          <c:showBubbleSize val="0"/>
        </c:dLbls>
        <c:smooth val="0"/>
        <c:axId val="167935488"/>
        <c:axId val="158556160"/>
      </c:lineChart>
      <c:catAx>
        <c:axId val="167935488"/>
        <c:scaling>
          <c:orientation val="minMax"/>
        </c:scaling>
        <c:delete val="0"/>
        <c:axPos val="b"/>
        <c:majorTickMark val="out"/>
        <c:minorTickMark val="none"/>
        <c:tickLblPos val="nextTo"/>
        <c:txPr>
          <a:bodyPr rot="-60000000" spcFirstLastPara="0" vertOverflow="ellipsis" vert="horz" wrap="square" anchor="ctr" anchorCtr="1"/>
          <a:lstStyle/>
          <a:p>
            <a:pPr>
              <a:defRPr lang="en-US" sz="1000" b="0" i="0" u="none" strike="noStrike" kern="1200" baseline="0">
                <a:solidFill>
                  <a:schemeClr val="tx1"/>
                </a:solidFill>
                <a:latin typeface="+mn-lt"/>
                <a:ea typeface="+mn-ea"/>
                <a:cs typeface="+mn-cs"/>
              </a:defRPr>
            </a:pPr>
            <a:endParaRPr lang="en-US"/>
          </a:p>
        </c:txPr>
        <c:crossAx val="158556160"/>
        <c:crosses val="autoZero"/>
        <c:auto val="1"/>
        <c:lblAlgn val="ctr"/>
        <c:lblOffset val="100"/>
        <c:noMultiLvlLbl val="0"/>
      </c:catAx>
      <c:valAx>
        <c:axId val="158556160"/>
        <c:scaling>
          <c:orientation val="minMax"/>
        </c:scaling>
        <c:delete val="0"/>
        <c:axPos val="l"/>
        <c:majorGridlines>
          <c:spPr>
            <a:ln w="9525" cap="flat" cmpd="sng" algn="ctr">
              <a:noFill/>
              <a:prstDash val="solid"/>
              <a:round/>
            </a:ln>
          </c:spPr>
        </c:majorGridlines>
        <c:numFmt formatCode="General" sourceLinked="1"/>
        <c:majorTickMark val="out"/>
        <c:minorTickMark val="none"/>
        <c:tickLblPos val="nextTo"/>
        <c:txPr>
          <a:bodyPr rot="-60000000" spcFirstLastPara="0" vertOverflow="ellipsis" vert="horz" wrap="square" anchor="ctr" anchorCtr="1"/>
          <a:lstStyle/>
          <a:p>
            <a:pPr>
              <a:defRPr lang="en-US" sz="1000" b="0" i="0" u="none" strike="noStrike" kern="1200" baseline="0">
                <a:solidFill>
                  <a:schemeClr val="tx1"/>
                </a:solidFill>
                <a:latin typeface="+mn-lt"/>
                <a:ea typeface="+mn-ea"/>
                <a:cs typeface="+mn-cs"/>
              </a:defRPr>
            </a:pPr>
            <a:endParaRPr lang="en-US"/>
          </a:p>
        </c:txPr>
        <c:crossAx val="167935488"/>
        <c:crosses val="autoZero"/>
        <c:crossBetween val="between"/>
        <c:dispUnits>
          <c:builtInUnit val="hundredThousands"/>
          <c:dispUnitsLbl>
            <c:txPr>
              <a:bodyPr rot="-5400000" spcFirstLastPara="0" vertOverflow="ellipsis" vert="horz" wrap="square" anchor="ctr" anchorCtr="1">
                <a:spAutoFit/>
              </a:bodyPr>
              <a:lstStyle/>
              <a:p>
                <a:pPr>
                  <a:defRPr lang="en-US" sz="1000" b="1" i="0" u="none" strike="noStrike" kern="1200" baseline="0">
                    <a:solidFill>
                      <a:schemeClr val="tx1"/>
                    </a:solidFill>
                    <a:latin typeface="+mn-lt"/>
                    <a:ea typeface="+mn-ea"/>
                    <a:cs typeface="+mn-cs"/>
                  </a:defRPr>
                </a:pPr>
                <a:endParaRPr lang="en-US"/>
              </a:p>
            </c:txPr>
          </c:dispUnitsLbl>
        </c:dispUnits>
      </c:valAx>
    </c:plotArea>
    <c:legend>
      <c:legendPos val="r"/>
      <c:overlay val="0"/>
      <c:txPr>
        <a:bodyPr rot="0" spcFirstLastPara="0" vertOverflow="ellipsis" vert="horz" wrap="square" anchor="ctr" anchorCtr="1"/>
        <a:lstStyle/>
        <a:p>
          <a:pPr>
            <a:defRPr lang="en-US" sz="1000" b="0" i="0" u="none" strike="noStrike" kern="1200" baseline="0">
              <a:solidFill>
                <a:schemeClr val="tx1"/>
              </a:solidFill>
              <a:latin typeface="+mn-lt"/>
              <a:ea typeface="+mn-ea"/>
              <a:cs typeface="+mn-cs"/>
            </a:defRPr>
          </a:pPr>
          <a:endParaRPr lang="en-US"/>
        </a:p>
      </c:txPr>
    </c:legend>
    <c:plotVisOnly val="1"/>
    <c:dispBlanksAs val="gap"/>
    <c:showDLblsOverMax val="0"/>
  </c:chart>
  <c:txPr>
    <a:bodyPr/>
    <a:lstStyle/>
    <a:p>
      <a:pPr>
        <a:defRPr lang="en-US"/>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2"/>
            </a:solidFill>
            <a:ln>
              <a:noFill/>
            </a:ln>
            <a:effectLst/>
          </c:spPr>
          <c:invertIfNegative val="0"/>
          <c:dPt>
            <c:idx val="0"/>
            <c:invertIfNegative val="0"/>
            <c:bubble3D val="0"/>
            <c:spPr>
              <a:solidFill>
                <a:srgbClr val="92D050"/>
              </a:solidFill>
              <a:ln>
                <a:noFill/>
              </a:ln>
              <a:effectLst/>
            </c:spPr>
            <c:extLst>
              <c:ext xmlns:c16="http://schemas.microsoft.com/office/drawing/2014/chart" uri="{C3380CC4-5D6E-409C-BE32-E72D297353CC}">
                <c16:uniqueId val="{00000001-3388-48DE-BF91-9AF331121CE6}"/>
              </c:ext>
            </c:extLst>
          </c:dPt>
          <c:dPt>
            <c:idx val="1"/>
            <c:invertIfNegative val="0"/>
            <c:bubble3D val="0"/>
            <c:spPr>
              <a:solidFill>
                <a:srgbClr val="C00000"/>
              </a:solidFill>
              <a:ln>
                <a:noFill/>
              </a:ln>
              <a:effectLst/>
            </c:spPr>
            <c:extLst>
              <c:ext xmlns:c16="http://schemas.microsoft.com/office/drawing/2014/chart" uri="{C3380CC4-5D6E-409C-BE32-E72D297353CC}">
                <c16:uniqueId val="{00000003-3388-48DE-BF91-9AF331121CE6}"/>
              </c:ext>
            </c:extLst>
          </c:dPt>
          <c:dLbls>
            <c:dLbl>
              <c:idx val="0"/>
              <c:tx>
                <c:strRef>
                  <c:f>STP_CapSafe!$G$11</c:f>
                  <c:strCache>
                    <c:ptCount val="1"/>
                    <c:pt idx="0">
                      <c:v>24.80 lakhs</c:v>
                    </c:pt>
                  </c:strCache>
                </c:strRef>
              </c:tx>
              <c:dLblPos val="outEnd"/>
              <c:showLegendKey val="0"/>
              <c:showVal val="1"/>
              <c:showCatName val="0"/>
              <c:showSerName val="0"/>
              <c:showPercent val="0"/>
              <c:showBubbleSize val="0"/>
              <c:extLst>
                <c:ext xmlns:c15="http://schemas.microsoft.com/office/drawing/2012/chart" uri="{CE6537A1-D6FC-4f65-9D91-7224C49458BB}">
                  <c15:dlblFieldTable>
                    <c15:dlblFTEntry>
                      <c15:txfldGUID>{6E3A4C4D-C5D1-44C5-963F-0D3B5FE8F743}</c15:txfldGUID>
                      <c15:f>STP_CapSafe!$G$11</c15:f>
                      <c15:dlblFieldTableCache>
                        <c:ptCount val="1"/>
                        <c:pt idx="0">
                          <c:v>24.80 lakhs</c:v>
                        </c:pt>
                      </c15:dlblFieldTableCache>
                    </c15:dlblFTEntry>
                  </c15:dlblFieldTable>
                  <c15:showDataLabelsRange val="0"/>
                </c:ext>
                <c:ext xmlns:c16="http://schemas.microsoft.com/office/drawing/2014/chart" uri="{C3380CC4-5D6E-409C-BE32-E72D297353CC}">
                  <c16:uniqueId val="{00000001-3388-48DE-BF91-9AF331121CE6}"/>
                </c:ext>
              </c:extLst>
            </c:dLbl>
            <c:dLbl>
              <c:idx val="1"/>
              <c:tx>
                <c:strRef>
                  <c:f>STP_CapSafe!$H$11</c:f>
                  <c:strCache>
                    <c:ptCount val="1"/>
                    <c:pt idx="0">
                      <c:v>21.59 lakhs</c:v>
                    </c:pt>
                  </c:strCache>
                </c:strRef>
              </c:tx>
              <c:dLblPos val="outEnd"/>
              <c:showLegendKey val="0"/>
              <c:showVal val="1"/>
              <c:showCatName val="0"/>
              <c:showSerName val="0"/>
              <c:showPercent val="0"/>
              <c:showBubbleSize val="0"/>
              <c:extLst>
                <c:ext xmlns:c15="http://schemas.microsoft.com/office/drawing/2012/chart" uri="{CE6537A1-D6FC-4f65-9D91-7224C49458BB}">
                  <c15:dlblFieldTable>
                    <c15:dlblFTEntry>
                      <c15:txfldGUID>{86683B67-F518-4E35-84E7-1769100E89B7}</c15:txfldGUID>
                      <c15:f>STP_CapSafe!$H$11</c15:f>
                      <c15:dlblFieldTableCache>
                        <c:ptCount val="1"/>
                        <c:pt idx="0">
                          <c:v>21.59 lakhs</c:v>
                        </c:pt>
                      </c15:dlblFieldTableCache>
                    </c15:dlblFTEntry>
                  </c15:dlblFieldTable>
                  <c15:showDataLabelsRange val="0"/>
                </c:ext>
                <c:ext xmlns:c16="http://schemas.microsoft.com/office/drawing/2014/chart" uri="{C3380CC4-5D6E-409C-BE32-E72D297353CC}">
                  <c16:uniqueId val="{00000003-3388-48DE-BF91-9AF331121CE6}"/>
                </c:ext>
              </c:extLst>
            </c:dLbl>
            <c:spPr>
              <a:noFill/>
              <a:ln>
                <a:noFill/>
              </a:ln>
              <a:effectLst/>
            </c:spPr>
            <c:txPr>
              <a:bodyPr rot="0" spcFirstLastPara="1" vertOverflow="ellipsis" vert="horz" wrap="square" lIns="38100" tIns="19050" rIns="38100" bIns="19050" anchor="ctr" anchorCtr="1">
                <a:spAutoFit/>
              </a:bodyPr>
              <a:lstStyle/>
              <a:p>
                <a:pPr>
                  <a:defRPr lang="en-US" sz="10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STP_CapSafe!$G$9:$H$9</c:f>
              <c:strCache>
                <c:ptCount val="2"/>
                <c:pt idx="0">
                  <c:v>STP</c:v>
                </c:pt>
                <c:pt idx="1">
                  <c:v>Non-STP</c:v>
                </c:pt>
              </c:strCache>
            </c:strRef>
          </c:cat>
          <c:val>
            <c:numRef>
              <c:f>STP_CapSafe!$G$10:$H$10</c:f>
              <c:numCache>
                <c:formatCode>0.00</c:formatCode>
                <c:ptCount val="2"/>
                <c:pt idx="0">
                  <c:v>24.795336090074795</c:v>
                </c:pt>
                <c:pt idx="1">
                  <c:v>21.589249972727877</c:v>
                </c:pt>
              </c:numCache>
            </c:numRef>
          </c:val>
          <c:extLst>
            <c:ext xmlns:c16="http://schemas.microsoft.com/office/drawing/2014/chart" uri="{C3380CC4-5D6E-409C-BE32-E72D297353CC}">
              <c16:uniqueId val="{00000004-3388-48DE-BF91-9AF331121CE6}"/>
            </c:ext>
          </c:extLst>
        </c:ser>
        <c:dLbls>
          <c:showLegendKey val="0"/>
          <c:showVal val="0"/>
          <c:showCatName val="0"/>
          <c:showSerName val="0"/>
          <c:showPercent val="0"/>
          <c:showBubbleSize val="0"/>
        </c:dLbls>
        <c:gapWidth val="50"/>
        <c:overlap val="-27"/>
        <c:axId val="330478816"/>
        <c:axId val="330474112"/>
      </c:barChart>
      <c:catAx>
        <c:axId val="33047881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en-US" sz="1200" b="1" i="0" u="none" strike="noStrike" kern="1200" baseline="0">
                <a:solidFill>
                  <a:schemeClr val="tx1">
                    <a:lumMod val="65000"/>
                    <a:lumOff val="35000"/>
                  </a:schemeClr>
                </a:solidFill>
                <a:latin typeface="+mn-lt"/>
                <a:ea typeface="+mn-ea"/>
                <a:cs typeface="+mn-cs"/>
              </a:defRPr>
            </a:pPr>
            <a:endParaRPr lang="en-US"/>
          </a:p>
        </c:txPr>
        <c:crossAx val="330474112"/>
        <c:crosses val="autoZero"/>
        <c:auto val="1"/>
        <c:lblAlgn val="ctr"/>
        <c:lblOffset val="100"/>
        <c:noMultiLvlLbl val="0"/>
      </c:catAx>
      <c:valAx>
        <c:axId val="330474112"/>
        <c:scaling>
          <c:orientation val="minMax"/>
        </c:scaling>
        <c:delete val="0"/>
        <c:axPos val="l"/>
        <c:numFmt formatCode="[&gt;=10000000]##\,##\,##\,##0;[&gt;=100000]\ ##\,##\,##0;##,##0" sourceLinked="0"/>
        <c:majorTickMark val="none"/>
        <c:minorTickMark val="none"/>
        <c:tickLblPos val="nextTo"/>
        <c:spPr>
          <a:noFill/>
          <a:ln>
            <a:noFill/>
          </a:ln>
          <a:effectLst/>
        </c:spPr>
        <c:txPr>
          <a:bodyPr rot="-60000000" spcFirstLastPara="1" vertOverflow="ellipsis" vert="horz" wrap="square" anchor="ctr" anchorCtr="1"/>
          <a:lstStyle/>
          <a:p>
            <a:pPr>
              <a:defRPr lang="en-US" sz="900" b="0" i="0" u="none" strike="noStrike" kern="1200" baseline="0">
                <a:solidFill>
                  <a:schemeClr val="tx1">
                    <a:lumMod val="65000"/>
                    <a:lumOff val="35000"/>
                  </a:schemeClr>
                </a:solidFill>
                <a:latin typeface="+mn-lt"/>
                <a:ea typeface="+mn-ea"/>
                <a:cs typeface="+mn-cs"/>
              </a:defRPr>
            </a:pPr>
            <a:endParaRPr lang="en-US"/>
          </a:p>
        </c:txPr>
        <c:crossAx val="330478816"/>
        <c:crosses val="autoZero"/>
        <c:crossBetween val="between"/>
      </c:valAx>
      <c:spPr>
        <a:noFill/>
        <a:ln>
          <a:noFill/>
        </a:ln>
        <a:effectLst/>
      </c:spPr>
    </c:plotArea>
    <c:plotVisOnly val="1"/>
    <c:dispBlanksAs val="gap"/>
    <c:showDLblsOverMax val="0"/>
  </c:chart>
  <c:spPr>
    <a:solidFill>
      <a:schemeClr val="bg1"/>
    </a:solidFill>
    <a:ln w="9525" cap="flat" cmpd="sng" algn="ctr">
      <a:solidFill>
        <a:srgbClr val="C00000"/>
      </a:solidFill>
      <a:round/>
    </a:ln>
    <a:effectLst/>
  </c:spPr>
  <c:txPr>
    <a:bodyPr/>
    <a:lstStyle/>
    <a:p>
      <a:pPr>
        <a:defRPr lang="en-US"/>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ANALYSIS!$C$3</c:f>
              <c:strCache>
                <c:ptCount val="1"/>
                <c:pt idx="0">
                  <c:v>Amt. Invested</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lang="en-US"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ANALYSIS!$B$4:$B$5</c:f>
              <c:strCache>
                <c:ptCount val="2"/>
                <c:pt idx="0">
                  <c:v>Step Up SIP</c:v>
                </c:pt>
                <c:pt idx="1">
                  <c:v>Normal SIP</c:v>
                </c:pt>
              </c:strCache>
            </c:strRef>
          </c:cat>
          <c:val>
            <c:numRef>
              <c:f>ANALYSIS!$C$4:$C$5</c:f>
              <c:numCache>
                <c:formatCode>_(* #,##0_);_(* \(#,##0\);_(* "-"??_);_(@_)</c:formatCode>
                <c:ptCount val="2"/>
                <c:pt idx="0">
                  <c:v>1740000</c:v>
                </c:pt>
                <c:pt idx="1">
                  <c:v>1200000</c:v>
                </c:pt>
              </c:numCache>
            </c:numRef>
          </c:val>
          <c:extLst>
            <c:ext xmlns:c16="http://schemas.microsoft.com/office/drawing/2014/chart" uri="{C3380CC4-5D6E-409C-BE32-E72D297353CC}">
              <c16:uniqueId val="{00000000-E4DF-4180-B3FA-1C56F75A3E6D}"/>
            </c:ext>
          </c:extLst>
        </c:ser>
        <c:ser>
          <c:idx val="1"/>
          <c:order val="1"/>
          <c:tx>
            <c:strRef>
              <c:f>ANALYSIS!$D$3</c:f>
              <c:strCache>
                <c:ptCount val="1"/>
                <c:pt idx="0">
                  <c:v>Wealth Created</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lang="en-US"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ANALYSIS!$B$4:$B$5</c:f>
              <c:strCache>
                <c:ptCount val="2"/>
                <c:pt idx="0">
                  <c:v>Step Up SIP</c:v>
                </c:pt>
                <c:pt idx="1">
                  <c:v>Normal SIP</c:v>
                </c:pt>
              </c:strCache>
            </c:strRef>
          </c:cat>
          <c:val>
            <c:numRef>
              <c:f>ANALYSIS!$D$4:$D$5</c:f>
              <c:numCache>
                <c:formatCode>_(* #,##0_);_(* \(#,##0\);_(* "-"??_);_(@_)</c:formatCode>
                <c:ptCount val="2"/>
                <c:pt idx="0">
                  <c:v>3043449.8162274165</c:v>
                </c:pt>
                <c:pt idx="1">
                  <c:v>2240358.8955946616</c:v>
                </c:pt>
              </c:numCache>
            </c:numRef>
          </c:val>
          <c:extLst>
            <c:ext xmlns:c16="http://schemas.microsoft.com/office/drawing/2014/chart" uri="{C3380CC4-5D6E-409C-BE32-E72D297353CC}">
              <c16:uniqueId val="{00000001-E4DF-4180-B3FA-1C56F75A3E6D}"/>
            </c:ext>
          </c:extLst>
        </c:ser>
        <c:dLbls>
          <c:showLegendKey val="0"/>
          <c:showVal val="0"/>
          <c:showCatName val="0"/>
          <c:showSerName val="0"/>
          <c:showPercent val="0"/>
          <c:showBubbleSize val="0"/>
        </c:dLbls>
        <c:gapWidth val="219"/>
        <c:overlap val="-27"/>
        <c:axId val="1627428672"/>
        <c:axId val="1538064288"/>
      </c:barChart>
      <c:catAx>
        <c:axId val="16274286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en-US" sz="900" b="1" i="0" u="none" strike="noStrike" kern="1200" baseline="0">
                <a:solidFill>
                  <a:schemeClr val="tx1">
                    <a:lumMod val="65000"/>
                    <a:lumOff val="35000"/>
                  </a:schemeClr>
                </a:solidFill>
                <a:latin typeface="+mn-lt"/>
                <a:ea typeface="+mn-ea"/>
                <a:cs typeface="+mn-cs"/>
              </a:defRPr>
            </a:pPr>
            <a:endParaRPr lang="en-US"/>
          </a:p>
        </c:txPr>
        <c:crossAx val="1538064288"/>
        <c:crosses val="autoZero"/>
        <c:auto val="1"/>
        <c:lblAlgn val="ctr"/>
        <c:lblOffset val="100"/>
        <c:noMultiLvlLbl val="0"/>
      </c:catAx>
      <c:valAx>
        <c:axId val="1538064288"/>
        <c:scaling>
          <c:orientation val="minMax"/>
        </c:scaling>
        <c:delete val="0"/>
        <c:axPos val="l"/>
        <c:numFmt formatCode="_(* #,##0_);_(* \(#,##0\);_(* &quot;-&quot;??_);_(@_)" sourceLinked="1"/>
        <c:majorTickMark val="none"/>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lang="en-US" sz="900" b="0" i="0" u="none" strike="noStrike" kern="1200" baseline="0">
                <a:solidFill>
                  <a:schemeClr val="tx1">
                    <a:lumMod val="65000"/>
                    <a:lumOff val="35000"/>
                  </a:schemeClr>
                </a:solidFill>
                <a:latin typeface="+mn-lt"/>
                <a:ea typeface="+mn-ea"/>
                <a:cs typeface="+mn-cs"/>
              </a:defRPr>
            </a:pPr>
            <a:endParaRPr lang="en-US"/>
          </a:p>
        </c:txPr>
        <c:crossAx val="1627428672"/>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lang="en-US" sz="900" b="0" i="0" u="none" strike="noStrike" kern="1200" baseline="0">
              <a:solidFill>
                <a:schemeClr val="tx1">
                  <a:lumMod val="65000"/>
                  <a:lumOff val="35000"/>
                </a:schemeClr>
              </a:solidFill>
              <a:latin typeface="+mn-lt"/>
              <a:ea typeface="+mn-ea"/>
              <a:cs typeface="+mn-cs"/>
            </a:defRPr>
          </a:pPr>
          <a:endParaRPr lang="en-US"/>
        </a:p>
      </c:txPr>
    </c:legend>
    <c:plotVisOnly val="0"/>
    <c:dispBlanksAs val="gap"/>
    <c:showDLblsOverMax val="0"/>
  </c:chart>
  <c:spPr>
    <a:solidFill>
      <a:schemeClr val="bg1"/>
    </a:solidFill>
    <a:ln w="9525" cap="flat" cmpd="sng" algn="ctr">
      <a:solidFill>
        <a:schemeClr val="accent1"/>
      </a:solidFill>
      <a:round/>
    </a:ln>
    <a:effectLst/>
  </c:spPr>
  <c:txPr>
    <a:bodyPr/>
    <a:lstStyle/>
    <a:p>
      <a:pPr>
        <a:defRPr lang="en-US"/>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image" Target="../media/image1.jpeg"/><Relationship Id="rId13" Type="http://schemas.openxmlformats.org/officeDocument/2006/relationships/hyperlink" Target="#Debt_FD!A1"/><Relationship Id="rId18" Type="http://schemas.openxmlformats.org/officeDocument/2006/relationships/hyperlink" Target="#AA_2"/><Relationship Id="rId3" Type="http://schemas.openxmlformats.org/officeDocument/2006/relationships/hyperlink" Target="#'SIP DELAY'!A1"/><Relationship Id="rId7" Type="http://schemas.openxmlformats.org/officeDocument/2006/relationships/hyperlink" Target="#DCF!A1"/><Relationship Id="rId12" Type="http://schemas.openxmlformats.org/officeDocument/2006/relationships/hyperlink" Target="#OTHERS!A1"/><Relationship Id="rId17" Type="http://schemas.openxmlformats.org/officeDocument/2006/relationships/hyperlink" Target="#EMIvsSIP!A1"/><Relationship Id="rId2" Type="http://schemas.openxmlformats.org/officeDocument/2006/relationships/hyperlink" Target="#'SIP TARGET'!A1"/><Relationship Id="rId16" Type="http://schemas.openxmlformats.org/officeDocument/2006/relationships/hyperlink" Target="#'Debt_FD_SWP (3)'!A1"/><Relationship Id="rId1" Type="http://schemas.openxmlformats.org/officeDocument/2006/relationships/hyperlink" Target="#'SIP GRAPH'!A1"/><Relationship Id="rId6" Type="http://schemas.openxmlformats.org/officeDocument/2006/relationships/hyperlink" Target="#'Capital Gain'!A1"/><Relationship Id="rId11" Type="http://schemas.openxmlformats.org/officeDocument/2006/relationships/image" Target="../media/image3.png"/><Relationship Id="rId5" Type="http://schemas.openxmlformats.org/officeDocument/2006/relationships/hyperlink" Target="#SWP_NEW!A1"/><Relationship Id="rId15" Type="http://schemas.openxmlformats.org/officeDocument/2006/relationships/hyperlink" Target="#HomePage!D4"/><Relationship Id="rId10" Type="http://schemas.openxmlformats.org/officeDocument/2006/relationships/hyperlink" Target="#DISCLAIMER!A1"/><Relationship Id="rId4" Type="http://schemas.openxmlformats.org/officeDocument/2006/relationships/hyperlink" Target="#RETIREMENT!A1"/><Relationship Id="rId9" Type="http://schemas.openxmlformats.org/officeDocument/2006/relationships/image" Target="../media/image2.png"/><Relationship Id="rId14" Type="http://schemas.openxmlformats.org/officeDocument/2006/relationships/hyperlink" Target="#'Debt_FD_SWP (2)'!A1"/></Relationships>
</file>

<file path=xl/drawings/_rels/drawing10.xml.rels><?xml version="1.0" encoding="UTF-8" standalone="yes"?>
<Relationships xmlns="http://schemas.openxmlformats.org/package/2006/relationships"><Relationship Id="rId3" Type="http://schemas.openxmlformats.org/officeDocument/2006/relationships/image" Target="../media/image14.jpeg"/><Relationship Id="rId2" Type="http://schemas.openxmlformats.org/officeDocument/2006/relationships/image" Target="../media/image4.png"/><Relationship Id="rId1" Type="http://schemas.openxmlformats.org/officeDocument/2006/relationships/hyperlink" Target="#'MAIN MENU'!A1"/></Relationships>
</file>

<file path=xl/drawings/_rels/drawing11.xml.rels><?xml version="1.0" encoding="UTF-8" standalone="yes"?>
<Relationships xmlns="http://schemas.openxmlformats.org/package/2006/relationships"><Relationship Id="rId3" Type="http://schemas.openxmlformats.org/officeDocument/2006/relationships/hyperlink" Target="#CellOne"/><Relationship Id="rId2" Type="http://schemas.openxmlformats.org/officeDocument/2006/relationships/image" Target="../media/image4.png"/><Relationship Id="rId1" Type="http://schemas.openxmlformats.org/officeDocument/2006/relationships/hyperlink" Target="#'MAIN MENU'!A1"/><Relationship Id="rId4" Type="http://schemas.openxmlformats.org/officeDocument/2006/relationships/image" Target="../media/image7.jpeg"/></Relationships>
</file>

<file path=xl/drawings/_rels/drawing12.xml.rels><?xml version="1.0" encoding="UTF-8" standalone="yes"?>
<Relationships xmlns="http://schemas.openxmlformats.org/package/2006/relationships"><Relationship Id="rId3" Type="http://schemas.openxmlformats.org/officeDocument/2006/relationships/image" Target="../media/image16.jpeg"/><Relationship Id="rId2" Type="http://schemas.openxmlformats.org/officeDocument/2006/relationships/image" Target="../media/image15.png"/><Relationship Id="rId1" Type="http://schemas.openxmlformats.org/officeDocument/2006/relationships/hyperlink" Target="#DCF"/></Relationships>
</file>

<file path=xl/drawings/_rels/drawing1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MAIN MENU'!A1"/><Relationship Id="rId1" Type="http://schemas.openxmlformats.org/officeDocument/2006/relationships/hyperlink" Target="#'OTHERS (2)'!A1"/><Relationship Id="rId4" Type="http://schemas.openxmlformats.org/officeDocument/2006/relationships/image" Target="../media/image17.jpeg"/></Relationships>
</file>

<file path=xl/drawings/_rels/drawing14.xml.rels><?xml version="1.0" encoding="UTF-8" standalone="yes"?>
<Relationships xmlns="http://schemas.openxmlformats.org/package/2006/relationships"><Relationship Id="rId3" Type="http://schemas.openxmlformats.org/officeDocument/2006/relationships/hyperlink" Target="#OTHERS!A1"/><Relationship Id="rId2" Type="http://schemas.openxmlformats.org/officeDocument/2006/relationships/image" Target="../media/image4.png"/><Relationship Id="rId1" Type="http://schemas.openxmlformats.org/officeDocument/2006/relationships/hyperlink" Target="#'MAIN MENU'!A1"/><Relationship Id="rId4" Type="http://schemas.openxmlformats.org/officeDocument/2006/relationships/image" Target="../media/image18.jpeg"/></Relationships>
</file>

<file path=xl/drawings/_rels/drawing1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MAIN MENU'!A1"/><Relationship Id="rId1" Type="http://schemas.openxmlformats.org/officeDocument/2006/relationships/image" Target="../media/image19.jpeg"/></Relationships>
</file>

<file path=xl/drawings/_rels/drawing16.xml.rels><?xml version="1.0" encoding="UTF-8" standalone="yes"?>
<Relationships xmlns="http://schemas.openxmlformats.org/package/2006/relationships"><Relationship Id="rId3" Type="http://schemas.openxmlformats.org/officeDocument/2006/relationships/hyperlink" Target="#'MAIN MENU'!A1"/><Relationship Id="rId2" Type="http://schemas.openxmlformats.org/officeDocument/2006/relationships/image" Target="../media/image20.jpeg"/><Relationship Id="rId1" Type="http://schemas.openxmlformats.org/officeDocument/2006/relationships/hyperlink" Target="#'SWP_CashFlow (2)'!A1"/><Relationship Id="rId4" Type="http://schemas.openxmlformats.org/officeDocument/2006/relationships/image" Target="../media/image4.png"/></Relationships>
</file>

<file path=xl/drawings/_rels/drawing17.xml.rels><?xml version="1.0" encoding="UTF-8" standalone="yes"?>
<Relationships xmlns="http://schemas.openxmlformats.org/package/2006/relationships"><Relationship Id="rId3" Type="http://schemas.openxmlformats.org/officeDocument/2006/relationships/image" Target="../media/image22.png"/><Relationship Id="rId2" Type="http://schemas.openxmlformats.org/officeDocument/2006/relationships/hyperlink" Target="#'Debt_FD_SWP (2)'!A1"/><Relationship Id="rId1" Type="http://schemas.openxmlformats.org/officeDocument/2006/relationships/image" Target="../media/image21.jpeg"/></Relationships>
</file>

<file path=xl/drawings/_rels/drawing18.xml.rels><?xml version="1.0" encoding="UTF-8" standalone="yes"?>
<Relationships xmlns="http://schemas.openxmlformats.org/package/2006/relationships"><Relationship Id="rId3" Type="http://schemas.openxmlformats.org/officeDocument/2006/relationships/hyperlink" Target="#'MAIN MENU'!A1"/><Relationship Id="rId2" Type="http://schemas.openxmlformats.org/officeDocument/2006/relationships/image" Target="../media/image20.jpeg"/><Relationship Id="rId1" Type="http://schemas.openxmlformats.org/officeDocument/2006/relationships/hyperlink" Target="#'SWP_CashFlow (3)'!A1"/><Relationship Id="rId4" Type="http://schemas.openxmlformats.org/officeDocument/2006/relationships/image" Target="../media/image4.png"/></Relationships>
</file>

<file path=xl/drawings/_rels/drawing19.xml.rels><?xml version="1.0" encoding="UTF-8" standalone="yes"?>
<Relationships xmlns="http://schemas.openxmlformats.org/package/2006/relationships"><Relationship Id="rId3" Type="http://schemas.openxmlformats.org/officeDocument/2006/relationships/image" Target="../media/image24.png"/><Relationship Id="rId2" Type="http://schemas.openxmlformats.org/officeDocument/2006/relationships/hyperlink" Target="#'Debt_FD_SWP (3)'!A1"/><Relationship Id="rId1" Type="http://schemas.openxmlformats.org/officeDocument/2006/relationships/image" Target="../media/image23.jpe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MAIN MENU'!A1"/><Relationship Id="rId1" Type="http://schemas.openxmlformats.org/officeDocument/2006/relationships/chart" Target="../charts/chart1.xml"/><Relationship Id="rId4" Type="http://schemas.openxmlformats.org/officeDocument/2006/relationships/image" Target="../media/image5.jpeg"/></Relationships>
</file>

<file path=xl/drawings/_rels/drawing20.xml.rels><?xml version="1.0" encoding="UTF-8" standalone="yes"?>
<Relationships xmlns="http://schemas.openxmlformats.org/package/2006/relationships"><Relationship Id="rId3" Type="http://schemas.openxmlformats.org/officeDocument/2006/relationships/hyperlink" Target="#'MAIN MENU'!A1"/><Relationship Id="rId2" Type="http://schemas.openxmlformats.org/officeDocument/2006/relationships/image" Target="../media/image25.png"/><Relationship Id="rId1" Type="http://schemas.openxmlformats.org/officeDocument/2006/relationships/hyperlink" Target="#Table"/><Relationship Id="rId4" Type="http://schemas.openxmlformats.org/officeDocument/2006/relationships/image" Target="../media/image4.png"/></Relationships>
</file>

<file path=xl/drawings/_rels/drawing21.xml.rels><?xml version="1.0" encoding="UTF-8" standalone="yes"?>
<Relationships xmlns="http://schemas.openxmlformats.org/package/2006/relationships"><Relationship Id="rId2" Type="http://schemas.openxmlformats.org/officeDocument/2006/relationships/image" Target="../media/image26.png"/><Relationship Id="rId1" Type="http://schemas.openxmlformats.org/officeDocument/2006/relationships/hyperlink" Target="#Table"/></Relationships>
</file>

<file path=xl/drawings/_rels/drawing22.xml.rels><?xml version="1.0" encoding="UTF-8" standalone="yes"?>
<Relationships xmlns="http://schemas.openxmlformats.org/package/2006/relationships"><Relationship Id="rId2" Type="http://schemas.openxmlformats.org/officeDocument/2006/relationships/image" Target="../media/image26.png"/><Relationship Id="rId1" Type="http://schemas.openxmlformats.org/officeDocument/2006/relationships/hyperlink" Target="#Table"/></Relationships>
</file>

<file path=xl/drawings/_rels/drawing23.xml.rels><?xml version="1.0" encoding="UTF-8" standalone="yes"?>
<Relationships xmlns="http://schemas.openxmlformats.org/package/2006/relationships"><Relationship Id="rId3" Type="http://schemas.openxmlformats.org/officeDocument/2006/relationships/hyperlink" Target="#HomePage!D4"/><Relationship Id="rId2" Type="http://schemas.openxmlformats.org/officeDocument/2006/relationships/image" Target="../media/image27.png"/><Relationship Id="rId1" Type="http://schemas.openxmlformats.org/officeDocument/2006/relationships/hyperlink" Target="#ANALYSIS!A1"/><Relationship Id="rId4" Type="http://schemas.openxmlformats.org/officeDocument/2006/relationships/image" Target="../media/image28.png"/></Relationships>
</file>

<file path=xl/drawings/_rels/drawing24.xml.rels><?xml version="1.0" encoding="UTF-8" standalone="yes"?>
<Relationships xmlns="http://schemas.openxmlformats.org/package/2006/relationships"><Relationship Id="rId3" Type="http://schemas.openxmlformats.org/officeDocument/2006/relationships/image" Target="../media/image29.png"/><Relationship Id="rId2" Type="http://schemas.openxmlformats.org/officeDocument/2006/relationships/hyperlink" Target="#Table"/><Relationship Id="rId1" Type="http://schemas.openxmlformats.org/officeDocument/2006/relationships/chart" Target="../charts/chart7.xml"/><Relationship Id="rId5" Type="http://schemas.openxmlformats.org/officeDocument/2006/relationships/image" Target="../media/image4.png"/><Relationship Id="rId4" Type="http://schemas.openxmlformats.org/officeDocument/2006/relationships/hyperlink" Target="#'MAIN MENU'!A1"/></Relationships>
</file>

<file path=xl/drawings/_rels/drawing2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MAIN MENU'!A1"/><Relationship Id="rId1" Type="http://schemas.openxmlformats.org/officeDocument/2006/relationships/image" Target="../media/image30.jpeg"/></Relationships>
</file>

<file path=xl/drawings/_rels/drawing26.xml.rels><?xml version="1.0" encoding="UTF-8" standalone="yes"?>
<Relationships xmlns="http://schemas.openxmlformats.org/package/2006/relationships"><Relationship Id="rId3" Type="http://schemas.openxmlformats.org/officeDocument/2006/relationships/image" Target="../media/image32.svg"/><Relationship Id="rId2" Type="http://schemas.openxmlformats.org/officeDocument/2006/relationships/image" Target="../media/image31.png"/><Relationship Id="rId1" Type="http://schemas.openxmlformats.org/officeDocument/2006/relationships/image" Target="../media/image10.jpeg"/><Relationship Id="rId5" Type="http://schemas.openxmlformats.org/officeDocument/2006/relationships/image" Target="../media/image4.png"/><Relationship Id="rId4" Type="http://schemas.openxmlformats.org/officeDocument/2006/relationships/hyperlink" Target="#'MAIN MENU'!A1"/></Relationships>
</file>

<file path=xl/drawings/_rels/drawing2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MAIN MENU'!A1"/><Relationship Id="rId1" Type="http://schemas.openxmlformats.org/officeDocument/2006/relationships/image" Target="../media/image10.jpeg"/><Relationship Id="rId4" Type="http://schemas.openxmlformats.org/officeDocument/2006/relationships/hyperlink" Target="#AA_22"/></Relationships>
</file>

<file path=xl/drawings/_rels/drawing2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MAIN MENU'!A1"/><Relationship Id="rId1" Type="http://schemas.openxmlformats.org/officeDocument/2006/relationships/image" Target="../media/image10.jpeg"/><Relationship Id="rId4" Type="http://schemas.openxmlformats.org/officeDocument/2006/relationships/hyperlink" Target="#AA_2"/></Relationships>
</file>

<file path=xl/drawings/_rels/drawing2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MAIN MENU'!A1"/></Relationships>
</file>

<file path=xl/drawings/_rels/drawing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MAIN MENU'!A1"/><Relationship Id="rId1" Type="http://schemas.openxmlformats.org/officeDocument/2006/relationships/chart" Target="../charts/chart2.xml"/><Relationship Id="rId4" Type="http://schemas.openxmlformats.org/officeDocument/2006/relationships/image" Target="../media/image6.jpeg"/></Relationships>
</file>

<file path=xl/drawings/_rels/drawing4.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image" Target="../media/image4.png"/><Relationship Id="rId1" Type="http://schemas.openxmlformats.org/officeDocument/2006/relationships/hyperlink" Target="#'MAIN MENU'!A1"/><Relationship Id="rId4" Type="http://schemas.openxmlformats.org/officeDocument/2006/relationships/image" Target="../media/image7.jpeg"/></Relationships>
</file>

<file path=xl/drawings/_rels/drawing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MAIN MENU'!A1"/><Relationship Id="rId1" Type="http://schemas.openxmlformats.org/officeDocument/2006/relationships/image" Target="../media/image8.jpeg"/></Relationships>
</file>

<file path=xl/drawings/_rels/drawing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MAIN MENU'!A1"/><Relationship Id="rId1" Type="http://schemas.openxmlformats.org/officeDocument/2006/relationships/chart" Target="../charts/chart4.xml"/><Relationship Id="rId4" Type="http://schemas.openxmlformats.org/officeDocument/2006/relationships/image" Target="../media/image9.jpeg"/></Relationships>
</file>

<file path=xl/drawings/_rels/drawing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MAIN MENU'!A1"/><Relationship Id="rId1" Type="http://schemas.openxmlformats.org/officeDocument/2006/relationships/chart" Target="../charts/chart5.xml"/><Relationship Id="rId5" Type="http://schemas.openxmlformats.org/officeDocument/2006/relationships/hyperlink" Target="#SWP_LINK"/><Relationship Id="rId4" Type="http://schemas.openxmlformats.org/officeDocument/2006/relationships/image" Target="../media/image10.jpeg"/></Relationships>
</file>

<file path=xl/drawings/_rels/drawing8.xml.rels><?xml version="1.0" encoding="UTF-8" standalone="yes"?>
<Relationships xmlns="http://schemas.openxmlformats.org/package/2006/relationships"><Relationship Id="rId3" Type="http://schemas.openxmlformats.org/officeDocument/2006/relationships/image" Target="../media/image11.jpeg"/><Relationship Id="rId2" Type="http://schemas.openxmlformats.org/officeDocument/2006/relationships/image" Target="../media/image4.png"/><Relationship Id="rId1" Type="http://schemas.openxmlformats.org/officeDocument/2006/relationships/hyperlink" Target="#'MAIN MENU'!A1"/><Relationship Id="rId5" Type="http://schemas.openxmlformats.org/officeDocument/2006/relationships/image" Target="../media/image12.png"/><Relationship Id="rId4" Type="http://schemas.openxmlformats.org/officeDocument/2006/relationships/hyperlink" Target="#SWP_NEW!A1"/></Relationships>
</file>

<file path=xl/drawings/_rels/drawing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MAIN MENU'!A1"/><Relationship Id="rId1" Type="http://schemas.openxmlformats.org/officeDocument/2006/relationships/chart" Target="../charts/chart6.xml"/><Relationship Id="rId4" Type="http://schemas.openxmlformats.org/officeDocument/2006/relationships/image" Target="../media/image13.jpe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85988</xdr:rowOff>
    </xdr:from>
    <xdr:to>
      <xdr:col>15</xdr:col>
      <xdr:colOff>583407</xdr:colOff>
      <xdr:row>6</xdr:row>
      <xdr:rowOff>89164</xdr:rowOff>
    </xdr:to>
    <xdr:sp macro="" textlink="">
      <xdr:nvSpPr>
        <xdr:cNvPr id="3" name="AutoShape 6" descr="Small grid">
          <a:extLst>
            <a:ext uri="{FF2B5EF4-FFF2-40B4-BE49-F238E27FC236}">
              <a16:creationId xmlns:a16="http://schemas.microsoft.com/office/drawing/2014/main" id="{00000000-0008-0000-0000-000003000000}"/>
            </a:ext>
          </a:extLst>
        </xdr:cNvPr>
        <xdr:cNvSpPr>
          <a:spLocks noChangeArrowheads="1"/>
        </xdr:cNvSpPr>
      </xdr:nvSpPr>
      <xdr:spPr>
        <a:xfrm>
          <a:off x="0" y="85725"/>
          <a:ext cx="10012680" cy="1009015"/>
        </a:xfrm>
        <a:prstGeom prst="roundRect">
          <a:avLst>
            <a:gd name="adj" fmla="val 12500"/>
          </a:avLst>
        </a:prstGeom>
        <a:solidFill>
          <a:schemeClr val="tx2">
            <a:lumMod val="60000"/>
            <a:lumOff val="40000"/>
          </a:schemeClr>
        </a:solidFill>
        <a:ln w="9525">
          <a:solidFill>
            <a:schemeClr val="accent1"/>
          </a:solidFill>
          <a:round/>
        </a:ln>
      </xdr:spPr>
      <xdr:txBody>
        <a:bodyPr anchor="ctr"/>
        <a:lstStyle/>
        <a:p>
          <a:pPr algn="ctr"/>
          <a:r>
            <a:rPr lang="en-US" sz="3200" b="1">
              <a:solidFill>
                <a:schemeClr val="bg1"/>
              </a:solidFill>
            </a:rPr>
            <a:t>FINANCIAL</a:t>
          </a:r>
          <a:r>
            <a:rPr lang="en-US" sz="3200" b="1" baseline="0">
              <a:solidFill>
                <a:schemeClr val="bg1"/>
              </a:solidFill>
            </a:rPr>
            <a:t> CALCULATORS</a:t>
          </a:r>
          <a:endParaRPr lang="en-US" sz="3200" b="1">
            <a:solidFill>
              <a:schemeClr val="bg1"/>
            </a:solidFill>
          </a:endParaRPr>
        </a:p>
      </xdr:txBody>
    </xdr:sp>
    <xdr:clientData/>
  </xdr:twoCellAnchor>
  <xdr:twoCellAnchor>
    <xdr:from>
      <xdr:col>0</xdr:col>
      <xdr:colOff>0</xdr:colOff>
      <xdr:row>7</xdr:row>
      <xdr:rowOff>101600</xdr:rowOff>
    </xdr:from>
    <xdr:to>
      <xdr:col>16</xdr:col>
      <xdr:colOff>0</xdr:colOff>
      <xdr:row>28</xdr:row>
      <xdr:rowOff>97790</xdr:rowOff>
    </xdr:to>
    <xdr:sp macro="" textlink="">
      <xdr:nvSpPr>
        <xdr:cNvPr id="13172" name="AutoShape 13">
          <a:extLst>
            <a:ext uri="{FF2B5EF4-FFF2-40B4-BE49-F238E27FC236}">
              <a16:creationId xmlns:a16="http://schemas.microsoft.com/office/drawing/2014/main" id="{00000000-0008-0000-0000-000074330000}"/>
            </a:ext>
          </a:extLst>
        </xdr:cNvPr>
        <xdr:cNvSpPr>
          <a:spLocks noChangeArrowheads="1"/>
        </xdr:cNvSpPr>
      </xdr:nvSpPr>
      <xdr:spPr>
        <a:xfrm>
          <a:off x="0" y="1275080"/>
          <a:ext cx="10012680" cy="3516630"/>
        </a:xfrm>
        <a:prstGeom prst="roundRect">
          <a:avLst>
            <a:gd name="adj" fmla="val 2995"/>
          </a:avLst>
        </a:prstGeom>
        <a:solidFill>
          <a:schemeClr val="bg1"/>
        </a:solidFill>
        <a:ln w="9525">
          <a:solidFill>
            <a:srgbClr val="000000"/>
          </a:solidFill>
          <a:round/>
        </a:ln>
      </xdr:spPr>
    </xdr:sp>
    <xdr:clientData/>
  </xdr:twoCellAnchor>
  <xdr:twoCellAnchor>
    <xdr:from>
      <xdr:col>0</xdr:col>
      <xdr:colOff>315378</xdr:colOff>
      <xdr:row>8</xdr:row>
      <xdr:rowOff>122494</xdr:rowOff>
    </xdr:from>
    <xdr:to>
      <xdr:col>3</xdr:col>
      <xdr:colOff>430999</xdr:colOff>
      <xdr:row>12</xdr:row>
      <xdr:rowOff>91270</xdr:rowOff>
    </xdr:to>
    <xdr:sp macro="" textlink="">
      <xdr:nvSpPr>
        <xdr:cNvPr id="5" name="Rectangle 4">
          <a:hlinkClick xmlns:r="http://schemas.openxmlformats.org/officeDocument/2006/relationships" r:id="rId1"/>
          <a:extLst>
            <a:ext uri="{FF2B5EF4-FFF2-40B4-BE49-F238E27FC236}">
              <a16:creationId xmlns:a16="http://schemas.microsoft.com/office/drawing/2014/main" id="{00000000-0008-0000-0000-000005000000}"/>
            </a:ext>
          </a:extLst>
        </xdr:cNvPr>
        <xdr:cNvSpPr>
          <a:spLocks noChangeArrowheads="1"/>
        </xdr:cNvSpPr>
      </xdr:nvSpPr>
      <xdr:spPr>
        <a:xfrm>
          <a:off x="314960" y="1463040"/>
          <a:ext cx="2012950" cy="639445"/>
        </a:xfrm>
        <a:prstGeom prst="rect">
          <a:avLst/>
        </a:prstGeom>
        <a:gradFill flip="none" rotWithShape="1">
          <a:gsLst>
            <a:gs pos="100000">
              <a:schemeClr val="tx2">
                <a:lumMod val="60000"/>
                <a:lumOff val="40000"/>
              </a:schemeClr>
            </a:gs>
            <a:gs pos="100000">
              <a:schemeClr val="tx2">
                <a:lumMod val="60000"/>
                <a:lumOff val="40000"/>
              </a:schemeClr>
            </a:gs>
            <a:gs pos="92000">
              <a:srgbClr val="AAC7EA">
                <a:alpha val="100000"/>
              </a:srgbClr>
            </a:gs>
            <a:gs pos="99000">
              <a:srgbClr val="AAC7EA">
                <a:alpha val="100000"/>
              </a:srgbClr>
            </a:gs>
            <a:gs pos="100000">
              <a:srgbClr val="AAC7EA">
                <a:alpha val="100000"/>
              </a:srgbClr>
            </a:gs>
            <a:gs pos="12000">
              <a:schemeClr val="tx2">
                <a:lumMod val="20000"/>
                <a:lumOff val="80000"/>
              </a:schemeClr>
            </a:gs>
            <a:gs pos="100000">
              <a:schemeClr val="accent2">
                <a:lumMod val="0"/>
                <a:lumOff val="100000"/>
              </a:schemeClr>
            </a:gs>
            <a:gs pos="100000">
              <a:schemeClr val="bg1"/>
            </a:gs>
          </a:gsLst>
          <a:path path="circle"/>
        </a:gradFill>
        <a:ln w="9525">
          <a:solidFill>
            <a:srgbClr val="000000"/>
          </a:solidFill>
          <a:miter lim="800000"/>
        </a:ln>
      </xdr:spPr>
      <xdr:txBody>
        <a:bodyPr vertOverflow="clip" wrap="square" lIns="27432" tIns="22860" rIns="27432" bIns="22860" anchor="ctr" upright="1"/>
        <a:lstStyle/>
        <a:p>
          <a:pPr algn="ctr" rtl="1">
            <a:defRPr sz="1000"/>
          </a:pPr>
          <a:r>
            <a:rPr lang="en-US" sz="1200" b="1" i="0" strike="noStrike">
              <a:solidFill>
                <a:sysClr val="windowText" lastClr="000000"/>
              </a:solidFill>
              <a:latin typeface="Arial" panose="020B0604020202020204"/>
              <a:cs typeface="Arial" panose="020B0604020202020204"/>
            </a:rPr>
            <a:t>SIP - WEALTH</a:t>
          </a:r>
          <a:r>
            <a:rPr lang="en-US" sz="1200" b="1" i="0" strike="noStrike" baseline="0">
              <a:solidFill>
                <a:sysClr val="windowText" lastClr="000000"/>
              </a:solidFill>
              <a:latin typeface="Arial" panose="020B0604020202020204"/>
              <a:cs typeface="Arial" panose="020B0604020202020204"/>
            </a:rPr>
            <a:t> CREATION</a:t>
          </a:r>
        </a:p>
      </xdr:txBody>
    </xdr:sp>
    <xdr:clientData/>
  </xdr:twoCellAnchor>
  <xdr:twoCellAnchor>
    <xdr:from>
      <xdr:col>4</xdr:col>
      <xdr:colOff>241568</xdr:colOff>
      <xdr:row>8</xdr:row>
      <xdr:rowOff>122494</xdr:rowOff>
    </xdr:from>
    <xdr:to>
      <xdr:col>7</xdr:col>
      <xdr:colOff>357189</xdr:colOff>
      <xdr:row>12</xdr:row>
      <xdr:rowOff>84920</xdr:rowOff>
    </xdr:to>
    <xdr:sp macro="" textlink="">
      <xdr:nvSpPr>
        <xdr:cNvPr id="6" name="Rectangle 5">
          <a:hlinkClick xmlns:r="http://schemas.openxmlformats.org/officeDocument/2006/relationships" r:id="rId2"/>
          <a:extLst>
            <a:ext uri="{FF2B5EF4-FFF2-40B4-BE49-F238E27FC236}">
              <a16:creationId xmlns:a16="http://schemas.microsoft.com/office/drawing/2014/main" id="{00000000-0008-0000-0000-000006000000}"/>
            </a:ext>
          </a:extLst>
        </xdr:cNvPr>
        <xdr:cNvSpPr>
          <a:spLocks noChangeArrowheads="1"/>
        </xdr:cNvSpPr>
      </xdr:nvSpPr>
      <xdr:spPr>
        <a:xfrm>
          <a:off x="2771140" y="1463040"/>
          <a:ext cx="2012950" cy="633095"/>
        </a:xfrm>
        <a:prstGeom prst="rect">
          <a:avLst/>
        </a:prstGeom>
        <a:gradFill flip="none" rotWithShape="1">
          <a:gsLst>
            <a:gs pos="100000">
              <a:schemeClr val="tx2">
                <a:lumMod val="60000"/>
                <a:lumOff val="40000"/>
              </a:schemeClr>
            </a:gs>
            <a:gs pos="100000">
              <a:schemeClr val="tx2">
                <a:lumMod val="60000"/>
                <a:lumOff val="40000"/>
              </a:schemeClr>
            </a:gs>
            <a:gs pos="92000">
              <a:srgbClr val="AAC7EA">
                <a:alpha val="100000"/>
              </a:srgbClr>
            </a:gs>
            <a:gs pos="99000">
              <a:srgbClr val="AAC7EA">
                <a:alpha val="100000"/>
              </a:srgbClr>
            </a:gs>
            <a:gs pos="100000">
              <a:srgbClr val="AAC7EA">
                <a:alpha val="100000"/>
              </a:srgbClr>
            </a:gs>
            <a:gs pos="12000">
              <a:schemeClr val="tx2">
                <a:lumMod val="20000"/>
                <a:lumOff val="80000"/>
              </a:schemeClr>
            </a:gs>
            <a:gs pos="100000">
              <a:schemeClr val="accent2">
                <a:lumMod val="0"/>
                <a:lumOff val="100000"/>
              </a:schemeClr>
            </a:gs>
            <a:gs pos="100000">
              <a:schemeClr val="bg1"/>
            </a:gs>
          </a:gsLst>
          <a:path path="circle"/>
        </a:gradFill>
        <a:ln w="9525">
          <a:solidFill>
            <a:srgbClr val="000000"/>
          </a:solidFill>
          <a:miter lim="800000"/>
        </a:ln>
      </xdr:spPr>
      <xdr:txBody>
        <a:bodyPr vertOverflow="clip" wrap="square" lIns="27432" tIns="22860" rIns="27432" bIns="22860" anchor="ctr" upright="1"/>
        <a:lstStyle/>
        <a:p>
          <a:pPr algn="ctr" rtl="1">
            <a:defRPr sz="1000"/>
          </a:pPr>
          <a:r>
            <a:rPr lang="en-US" sz="1200" b="1" i="0" strike="noStrike" baseline="0">
              <a:solidFill>
                <a:srgbClr val="000000"/>
              </a:solidFill>
              <a:latin typeface="Arial" panose="020B0604020202020204"/>
              <a:cs typeface="Arial" panose="020B0604020202020204"/>
            </a:rPr>
            <a:t>SIP - TARGET ACHIEVEMENT </a:t>
          </a:r>
          <a:endParaRPr lang="en-US" sz="1100" b="1" i="0" strike="noStrike" baseline="0">
            <a:solidFill>
              <a:srgbClr val="000000"/>
            </a:solidFill>
            <a:latin typeface="Arial" panose="020B0604020202020204"/>
            <a:cs typeface="Arial" panose="020B0604020202020204"/>
          </a:endParaRPr>
        </a:p>
      </xdr:txBody>
    </xdr:sp>
    <xdr:clientData/>
  </xdr:twoCellAnchor>
  <xdr:twoCellAnchor>
    <xdr:from>
      <xdr:col>8</xdr:col>
      <xdr:colOff>170138</xdr:colOff>
      <xdr:row>8</xdr:row>
      <xdr:rowOff>122494</xdr:rowOff>
    </xdr:from>
    <xdr:to>
      <xdr:col>11</xdr:col>
      <xdr:colOff>285759</xdr:colOff>
      <xdr:row>12</xdr:row>
      <xdr:rowOff>83332</xdr:rowOff>
    </xdr:to>
    <xdr:sp macro="" textlink="">
      <xdr:nvSpPr>
        <xdr:cNvPr id="7" name="Rectangle 6">
          <a:hlinkClick xmlns:r="http://schemas.openxmlformats.org/officeDocument/2006/relationships" r:id="rId3"/>
          <a:extLst>
            <a:ext uri="{FF2B5EF4-FFF2-40B4-BE49-F238E27FC236}">
              <a16:creationId xmlns:a16="http://schemas.microsoft.com/office/drawing/2014/main" id="{00000000-0008-0000-0000-000007000000}"/>
            </a:ext>
          </a:extLst>
        </xdr:cNvPr>
        <xdr:cNvSpPr>
          <a:spLocks noChangeArrowheads="1"/>
        </xdr:cNvSpPr>
      </xdr:nvSpPr>
      <xdr:spPr>
        <a:xfrm>
          <a:off x="5229225" y="1463040"/>
          <a:ext cx="2013585" cy="631825"/>
        </a:xfrm>
        <a:prstGeom prst="rect">
          <a:avLst/>
        </a:prstGeom>
        <a:gradFill flip="none" rotWithShape="1">
          <a:gsLst>
            <a:gs pos="100000">
              <a:schemeClr val="tx2">
                <a:lumMod val="60000"/>
                <a:lumOff val="40000"/>
              </a:schemeClr>
            </a:gs>
            <a:gs pos="100000">
              <a:schemeClr val="tx2">
                <a:lumMod val="60000"/>
                <a:lumOff val="40000"/>
              </a:schemeClr>
            </a:gs>
            <a:gs pos="92000">
              <a:srgbClr val="AAC7EA">
                <a:alpha val="100000"/>
              </a:srgbClr>
            </a:gs>
            <a:gs pos="99000">
              <a:srgbClr val="AAC7EA">
                <a:alpha val="100000"/>
              </a:srgbClr>
            </a:gs>
            <a:gs pos="100000">
              <a:srgbClr val="AAC7EA">
                <a:alpha val="100000"/>
              </a:srgbClr>
            </a:gs>
            <a:gs pos="12000">
              <a:schemeClr val="tx2">
                <a:lumMod val="20000"/>
                <a:lumOff val="80000"/>
              </a:schemeClr>
            </a:gs>
            <a:gs pos="100000">
              <a:schemeClr val="accent2">
                <a:lumMod val="0"/>
                <a:lumOff val="100000"/>
              </a:schemeClr>
            </a:gs>
            <a:gs pos="100000">
              <a:schemeClr val="bg1"/>
            </a:gs>
          </a:gsLst>
          <a:path path="circle"/>
        </a:gradFill>
        <a:ln w="9525">
          <a:solidFill>
            <a:srgbClr val="000000"/>
          </a:solidFill>
          <a:miter lim="800000"/>
        </a:ln>
      </xdr:spPr>
      <xdr:txBody>
        <a:bodyPr vertOverflow="clip" wrap="square" lIns="27432" tIns="22860" rIns="27432" bIns="22860" anchor="ctr" upright="1"/>
        <a:lstStyle/>
        <a:p>
          <a:pPr algn="ctr" rtl="1">
            <a:defRPr sz="1000"/>
          </a:pPr>
          <a:r>
            <a:rPr lang="en-US" sz="1200" b="1" i="0" strike="noStrike">
              <a:solidFill>
                <a:srgbClr val="000000"/>
              </a:solidFill>
              <a:latin typeface="Arial" panose="020B0604020202020204"/>
              <a:cs typeface="Arial" panose="020B0604020202020204"/>
            </a:rPr>
            <a:t>SIP - COST</a:t>
          </a:r>
          <a:r>
            <a:rPr lang="en-US" sz="1200" b="1" i="0" strike="noStrike" baseline="0">
              <a:solidFill>
                <a:srgbClr val="000000"/>
              </a:solidFill>
              <a:latin typeface="Arial" panose="020B0604020202020204"/>
              <a:cs typeface="Arial" panose="020B0604020202020204"/>
            </a:rPr>
            <a:t> OF DELAYING </a:t>
          </a:r>
          <a:endParaRPr lang="en-US" sz="1200" b="1" i="0" strike="noStrike">
            <a:solidFill>
              <a:srgbClr val="000000"/>
            </a:solidFill>
            <a:latin typeface="Arial" panose="020B0604020202020204"/>
            <a:cs typeface="Arial" panose="020B0604020202020204"/>
          </a:endParaRPr>
        </a:p>
      </xdr:txBody>
    </xdr:sp>
    <xdr:clientData/>
  </xdr:twoCellAnchor>
  <xdr:twoCellAnchor>
    <xdr:from>
      <xdr:col>4</xdr:col>
      <xdr:colOff>231179</xdr:colOff>
      <xdr:row>14</xdr:row>
      <xdr:rowOff>25664</xdr:rowOff>
    </xdr:from>
    <xdr:to>
      <xdr:col>7</xdr:col>
      <xdr:colOff>346800</xdr:colOff>
      <xdr:row>17</xdr:row>
      <xdr:rowOff>145252</xdr:rowOff>
    </xdr:to>
    <xdr:sp macro="" textlink="">
      <xdr:nvSpPr>
        <xdr:cNvPr id="8" name="Rectangle 7">
          <a:hlinkClick xmlns:r="http://schemas.openxmlformats.org/officeDocument/2006/relationships" r:id="rId4"/>
          <a:extLst>
            <a:ext uri="{FF2B5EF4-FFF2-40B4-BE49-F238E27FC236}">
              <a16:creationId xmlns:a16="http://schemas.microsoft.com/office/drawing/2014/main" id="{00000000-0008-0000-0000-000008000000}"/>
            </a:ext>
          </a:extLst>
        </xdr:cNvPr>
        <xdr:cNvSpPr>
          <a:spLocks noChangeArrowheads="1"/>
        </xdr:cNvSpPr>
      </xdr:nvSpPr>
      <xdr:spPr>
        <a:xfrm>
          <a:off x="2760980" y="2372360"/>
          <a:ext cx="2012950" cy="622300"/>
        </a:xfrm>
        <a:prstGeom prst="rect">
          <a:avLst/>
        </a:prstGeom>
        <a:gradFill flip="none" rotWithShape="1">
          <a:gsLst>
            <a:gs pos="100000">
              <a:schemeClr val="tx2">
                <a:lumMod val="60000"/>
                <a:lumOff val="40000"/>
              </a:schemeClr>
            </a:gs>
            <a:gs pos="100000">
              <a:schemeClr val="tx2">
                <a:lumMod val="60000"/>
                <a:lumOff val="40000"/>
              </a:schemeClr>
            </a:gs>
            <a:gs pos="92000">
              <a:srgbClr val="AAC7EA">
                <a:alpha val="100000"/>
              </a:srgbClr>
            </a:gs>
            <a:gs pos="99000">
              <a:srgbClr val="AAC7EA">
                <a:alpha val="100000"/>
              </a:srgbClr>
            </a:gs>
            <a:gs pos="100000">
              <a:srgbClr val="AAC7EA">
                <a:alpha val="100000"/>
              </a:srgbClr>
            </a:gs>
            <a:gs pos="12000">
              <a:schemeClr val="tx2">
                <a:lumMod val="20000"/>
                <a:lumOff val="80000"/>
              </a:schemeClr>
            </a:gs>
            <a:gs pos="100000">
              <a:schemeClr val="accent2">
                <a:lumMod val="0"/>
                <a:lumOff val="100000"/>
              </a:schemeClr>
            </a:gs>
            <a:gs pos="100000">
              <a:schemeClr val="bg1"/>
            </a:gs>
          </a:gsLst>
          <a:path path="circle"/>
        </a:gradFill>
        <a:ln w="9525">
          <a:solidFill>
            <a:srgbClr val="000000"/>
          </a:solidFill>
          <a:miter lim="800000"/>
        </a:ln>
      </xdr:spPr>
      <xdr:txBody>
        <a:bodyPr vertOverflow="clip" wrap="square" lIns="27432" tIns="22860" rIns="27432" bIns="22860" anchor="ctr" upright="1"/>
        <a:lstStyle/>
        <a:p>
          <a:pPr algn="ctr" rtl="1">
            <a:defRPr sz="1000"/>
          </a:pPr>
          <a:r>
            <a:rPr lang="en-US" sz="1100" b="1" i="0" strike="noStrike">
              <a:solidFill>
                <a:srgbClr val="000000"/>
              </a:solidFill>
              <a:latin typeface="Arial" panose="020B0604020202020204"/>
              <a:cs typeface="Arial" panose="020B0604020202020204"/>
            </a:rPr>
            <a:t>RETIREMENT</a:t>
          </a:r>
          <a:r>
            <a:rPr lang="en-US" sz="1100" b="1" i="0" strike="noStrike" baseline="0">
              <a:solidFill>
                <a:srgbClr val="000000"/>
              </a:solidFill>
              <a:latin typeface="Arial" panose="020B0604020202020204"/>
              <a:cs typeface="Arial" panose="020B0604020202020204"/>
            </a:rPr>
            <a:t> PLANNING THROUGH SIP &amp; SWP</a:t>
          </a:r>
        </a:p>
      </xdr:txBody>
    </xdr:sp>
    <xdr:clientData/>
  </xdr:twoCellAnchor>
  <xdr:twoCellAnchor>
    <xdr:from>
      <xdr:col>0</xdr:col>
      <xdr:colOff>305001</xdr:colOff>
      <xdr:row>14</xdr:row>
      <xdr:rowOff>25664</xdr:rowOff>
    </xdr:from>
    <xdr:to>
      <xdr:col>3</xdr:col>
      <xdr:colOff>420622</xdr:colOff>
      <xdr:row>17</xdr:row>
      <xdr:rowOff>143664</xdr:rowOff>
    </xdr:to>
    <xdr:sp macro="" textlink="">
      <xdr:nvSpPr>
        <xdr:cNvPr id="9" name="Rectangle 8">
          <a:hlinkClick xmlns:r="http://schemas.openxmlformats.org/officeDocument/2006/relationships" r:id="rId5"/>
          <a:extLst>
            <a:ext uri="{FF2B5EF4-FFF2-40B4-BE49-F238E27FC236}">
              <a16:creationId xmlns:a16="http://schemas.microsoft.com/office/drawing/2014/main" id="{00000000-0008-0000-0000-000009000000}"/>
            </a:ext>
          </a:extLst>
        </xdr:cNvPr>
        <xdr:cNvSpPr>
          <a:spLocks noChangeArrowheads="1"/>
        </xdr:cNvSpPr>
      </xdr:nvSpPr>
      <xdr:spPr>
        <a:xfrm>
          <a:off x="304800" y="2372360"/>
          <a:ext cx="2012950" cy="621030"/>
        </a:xfrm>
        <a:prstGeom prst="rect">
          <a:avLst/>
        </a:prstGeom>
        <a:gradFill flip="none" rotWithShape="1">
          <a:gsLst>
            <a:gs pos="100000">
              <a:schemeClr val="tx2">
                <a:lumMod val="60000"/>
                <a:lumOff val="40000"/>
              </a:schemeClr>
            </a:gs>
            <a:gs pos="100000">
              <a:schemeClr val="tx2">
                <a:lumMod val="60000"/>
                <a:lumOff val="40000"/>
              </a:schemeClr>
            </a:gs>
            <a:gs pos="92000">
              <a:srgbClr val="AAC7EA">
                <a:alpha val="100000"/>
              </a:srgbClr>
            </a:gs>
            <a:gs pos="99000">
              <a:srgbClr val="AAC7EA">
                <a:alpha val="100000"/>
              </a:srgbClr>
            </a:gs>
            <a:gs pos="100000">
              <a:srgbClr val="AAC7EA">
                <a:alpha val="100000"/>
              </a:srgbClr>
            </a:gs>
            <a:gs pos="12000">
              <a:schemeClr val="tx2">
                <a:lumMod val="20000"/>
                <a:lumOff val="80000"/>
              </a:schemeClr>
            </a:gs>
            <a:gs pos="100000">
              <a:schemeClr val="accent2">
                <a:lumMod val="0"/>
                <a:lumOff val="100000"/>
              </a:schemeClr>
            </a:gs>
            <a:gs pos="100000">
              <a:schemeClr val="bg1"/>
            </a:gs>
          </a:gsLst>
          <a:path path="circle"/>
        </a:gradFill>
        <a:ln w="9525">
          <a:solidFill>
            <a:srgbClr val="000000"/>
          </a:solidFill>
          <a:miter lim="800000"/>
        </a:ln>
      </xdr:spPr>
      <xdr:txBody>
        <a:bodyPr vertOverflow="clip" wrap="square" lIns="27432" tIns="22860" rIns="27432" bIns="22860" anchor="ctr" upright="1"/>
        <a:lstStyle/>
        <a:p>
          <a:pPr algn="ctr" rtl="1">
            <a:defRPr sz="1000"/>
          </a:pPr>
          <a:r>
            <a:rPr lang="en-US" sz="1200" b="1" i="0" strike="noStrike">
              <a:solidFill>
                <a:srgbClr val="000000"/>
              </a:solidFill>
              <a:latin typeface="Arial" panose="020B0604020202020204"/>
              <a:cs typeface="Arial" panose="020B0604020202020204"/>
            </a:rPr>
            <a:t>SWP</a:t>
          </a:r>
          <a:r>
            <a:rPr lang="en-US" sz="1200" b="1" i="0" strike="noStrike" baseline="0">
              <a:solidFill>
                <a:srgbClr val="000000"/>
              </a:solidFill>
              <a:latin typeface="Arial" panose="020B0604020202020204"/>
              <a:cs typeface="Arial" panose="020B0604020202020204"/>
            </a:rPr>
            <a:t> - REGULAR INCOME GENERATION</a:t>
          </a:r>
          <a:endParaRPr lang="en-US" sz="1200" b="1" i="0" strike="noStrike">
            <a:solidFill>
              <a:srgbClr val="000000"/>
            </a:solidFill>
            <a:latin typeface="Arial" panose="020B0604020202020204"/>
            <a:cs typeface="Arial" panose="020B0604020202020204"/>
          </a:endParaRPr>
        </a:p>
      </xdr:txBody>
    </xdr:sp>
    <xdr:clientData/>
  </xdr:twoCellAnchor>
  <xdr:twoCellAnchor>
    <xdr:from>
      <xdr:col>4</xdr:col>
      <xdr:colOff>230387</xdr:colOff>
      <xdr:row>19</xdr:row>
      <xdr:rowOff>43133</xdr:rowOff>
    </xdr:from>
    <xdr:to>
      <xdr:col>7</xdr:col>
      <xdr:colOff>346008</xdr:colOff>
      <xdr:row>23</xdr:row>
      <xdr:rowOff>3971</xdr:rowOff>
    </xdr:to>
    <xdr:sp macro="" textlink="">
      <xdr:nvSpPr>
        <xdr:cNvPr id="10" name="Rectangle 9">
          <a:hlinkClick xmlns:r="http://schemas.openxmlformats.org/officeDocument/2006/relationships" r:id="rId6"/>
          <a:extLst>
            <a:ext uri="{FF2B5EF4-FFF2-40B4-BE49-F238E27FC236}">
              <a16:creationId xmlns:a16="http://schemas.microsoft.com/office/drawing/2014/main" id="{00000000-0008-0000-0000-00000A000000}"/>
            </a:ext>
          </a:extLst>
        </xdr:cNvPr>
        <xdr:cNvSpPr>
          <a:spLocks noChangeArrowheads="1"/>
        </xdr:cNvSpPr>
      </xdr:nvSpPr>
      <xdr:spPr>
        <a:xfrm>
          <a:off x="2759710" y="3227705"/>
          <a:ext cx="2012950" cy="631825"/>
        </a:xfrm>
        <a:prstGeom prst="rect">
          <a:avLst/>
        </a:prstGeom>
        <a:gradFill flip="none" rotWithShape="1">
          <a:gsLst>
            <a:gs pos="100000">
              <a:schemeClr val="tx2">
                <a:lumMod val="60000"/>
                <a:lumOff val="40000"/>
              </a:schemeClr>
            </a:gs>
            <a:gs pos="100000">
              <a:schemeClr val="tx2">
                <a:lumMod val="60000"/>
                <a:lumOff val="40000"/>
              </a:schemeClr>
            </a:gs>
            <a:gs pos="92000">
              <a:srgbClr val="AAC7EA">
                <a:alpha val="100000"/>
              </a:srgbClr>
            </a:gs>
            <a:gs pos="99000">
              <a:srgbClr val="AAC7EA">
                <a:alpha val="100000"/>
              </a:srgbClr>
            </a:gs>
            <a:gs pos="100000">
              <a:srgbClr val="AAC7EA">
                <a:alpha val="100000"/>
              </a:srgbClr>
            </a:gs>
            <a:gs pos="12000">
              <a:schemeClr val="tx2">
                <a:lumMod val="20000"/>
                <a:lumOff val="80000"/>
              </a:schemeClr>
            </a:gs>
            <a:gs pos="100000">
              <a:schemeClr val="accent2">
                <a:lumMod val="0"/>
                <a:lumOff val="100000"/>
              </a:schemeClr>
            </a:gs>
            <a:gs pos="100000">
              <a:schemeClr val="bg1"/>
            </a:gs>
          </a:gsLst>
          <a:path path="circle"/>
        </a:gradFill>
        <a:ln w="9525">
          <a:solidFill>
            <a:srgbClr val="000000"/>
          </a:solidFill>
          <a:miter lim="800000"/>
        </a:ln>
      </xdr:spPr>
      <xdr:txBody>
        <a:bodyPr vertOverflow="clip" wrap="square" lIns="27432" tIns="22860" rIns="27432" bIns="22860" anchor="ctr" upright="1"/>
        <a:lstStyle/>
        <a:p>
          <a:pPr algn="ctr" rtl="1">
            <a:defRPr sz="1000"/>
          </a:pPr>
          <a:r>
            <a:rPr lang="en-US" sz="1200" b="1" i="0" strike="noStrike">
              <a:solidFill>
                <a:srgbClr val="000000"/>
              </a:solidFill>
              <a:latin typeface="Arial" panose="020B0604020202020204"/>
              <a:cs typeface="Arial" panose="020B0604020202020204"/>
            </a:rPr>
            <a:t>MF CAPITAL GAIN</a:t>
          </a:r>
        </a:p>
      </xdr:txBody>
    </xdr:sp>
    <xdr:clientData/>
  </xdr:twoCellAnchor>
  <xdr:twoCellAnchor>
    <xdr:from>
      <xdr:col>4</xdr:col>
      <xdr:colOff>230387</xdr:colOff>
      <xdr:row>24</xdr:row>
      <xdr:rowOff>62178</xdr:rowOff>
    </xdr:from>
    <xdr:to>
      <xdr:col>7</xdr:col>
      <xdr:colOff>346007</xdr:colOff>
      <xdr:row>28</xdr:row>
      <xdr:rowOff>38892</xdr:rowOff>
    </xdr:to>
    <xdr:sp macro="" textlink="">
      <xdr:nvSpPr>
        <xdr:cNvPr id="11" name="Rectangle 10">
          <a:hlinkClick xmlns:r="http://schemas.openxmlformats.org/officeDocument/2006/relationships" r:id="rId7"/>
          <a:extLst>
            <a:ext uri="{FF2B5EF4-FFF2-40B4-BE49-F238E27FC236}">
              <a16:creationId xmlns:a16="http://schemas.microsoft.com/office/drawing/2014/main" id="{00000000-0008-0000-0000-00000B000000}"/>
            </a:ext>
          </a:extLst>
        </xdr:cNvPr>
        <xdr:cNvSpPr>
          <a:spLocks noChangeArrowheads="1"/>
        </xdr:cNvSpPr>
      </xdr:nvSpPr>
      <xdr:spPr>
        <a:xfrm>
          <a:off x="2759710" y="4084955"/>
          <a:ext cx="2012950" cy="647700"/>
        </a:xfrm>
        <a:prstGeom prst="rect">
          <a:avLst/>
        </a:prstGeom>
        <a:gradFill flip="none" rotWithShape="1">
          <a:gsLst>
            <a:gs pos="100000">
              <a:schemeClr val="tx2">
                <a:lumMod val="60000"/>
                <a:lumOff val="40000"/>
              </a:schemeClr>
            </a:gs>
            <a:gs pos="100000">
              <a:schemeClr val="tx2">
                <a:lumMod val="60000"/>
                <a:lumOff val="40000"/>
              </a:schemeClr>
            </a:gs>
            <a:gs pos="92000">
              <a:srgbClr val="AAC7EA">
                <a:alpha val="100000"/>
              </a:srgbClr>
            </a:gs>
            <a:gs pos="99000">
              <a:srgbClr val="AAC7EA">
                <a:alpha val="100000"/>
              </a:srgbClr>
            </a:gs>
            <a:gs pos="100000">
              <a:srgbClr val="AAC7EA">
                <a:alpha val="100000"/>
              </a:srgbClr>
            </a:gs>
            <a:gs pos="12000">
              <a:schemeClr val="tx2">
                <a:lumMod val="20000"/>
                <a:lumOff val="80000"/>
              </a:schemeClr>
            </a:gs>
            <a:gs pos="100000">
              <a:schemeClr val="accent2">
                <a:lumMod val="0"/>
                <a:lumOff val="100000"/>
              </a:schemeClr>
            </a:gs>
            <a:gs pos="100000">
              <a:schemeClr val="bg1"/>
            </a:gs>
          </a:gsLst>
          <a:path path="circle"/>
        </a:gradFill>
        <a:ln w="9525">
          <a:solidFill>
            <a:srgbClr val="000000"/>
          </a:solidFill>
          <a:miter lim="800000"/>
        </a:ln>
      </xdr:spPr>
      <xdr:txBody>
        <a:bodyPr vertOverflow="clip" wrap="square" lIns="27432" tIns="22860" rIns="27432" bIns="22860" anchor="ctr" upright="1"/>
        <a:lstStyle/>
        <a:p>
          <a:pPr algn="ctr" rtl="1">
            <a:defRPr sz="1000"/>
          </a:pPr>
          <a:r>
            <a:rPr lang="en-US" sz="1200" b="1" i="0" strike="noStrike">
              <a:solidFill>
                <a:srgbClr val="000000"/>
              </a:solidFill>
              <a:latin typeface="Arial" panose="020B0604020202020204"/>
              <a:cs typeface="Arial" panose="020B0604020202020204"/>
            </a:rPr>
            <a:t>FINANCIAL</a:t>
          </a:r>
          <a:r>
            <a:rPr lang="en-US" sz="1200" b="1" i="0" strike="noStrike" baseline="0">
              <a:solidFill>
                <a:srgbClr val="000000"/>
              </a:solidFill>
              <a:latin typeface="Arial" panose="020B0604020202020204"/>
              <a:cs typeface="Arial" panose="020B0604020202020204"/>
            </a:rPr>
            <a:t> PLANNING</a:t>
          </a:r>
          <a:endParaRPr lang="en-US" sz="1200" b="1" i="0" strike="noStrike">
            <a:solidFill>
              <a:srgbClr val="000000"/>
            </a:solidFill>
            <a:latin typeface="Arial" panose="020B0604020202020204"/>
            <a:cs typeface="Arial" panose="020B0604020202020204"/>
          </a:endParaRPr>
        </a:p>
      </xdr:txBody>
    </xdr:sp>
    <xdr:clientData/>
  </xdr:twoCellAnchor>
  <xdr:twoCellAnchor editAs="oneCell">
    <xdr:from>
      <xdr:col>0</xdr:col>
      <xdr:colOff>528320</xdr:colOff>
      <xdr:row>30</xdr:row>
      <xdr:rowOff>150495</xdr:rowOff>
    </xdr:from>
    <xdr:to>
      <xdr:col>3</xdr:col>
      <xdr:colOff>184785</xdr:colOff>
      <xdr:row>32</xdr:row>
      <xdr:rowOff>448945</xdr:rowOff>
    </xdr:to>
    <xdr:pic>
      <xdr:nvPicPr>
        <xdr:cNvPr id="13183" name="Picture 24" descr="Prudent emPower logo txt">
          <a:extLst>
            <a:ext uri="{FF2B5EF4-FFF2-40B4-BE49-F238E27FC236}">
              <a16:creationId xmlns:a16="http://schemas.microsoft.com/office/drawing/2014/main" id="{00000000-0008-0000-0000-00007F33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a:xfrm>
          <a:off x="528320" y="4993005"/>
          <a:ext cx="1553845" cy="633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476250</xdr:colOff>
      <xdr:row>0</xdr:row>
      <xdr:rowOff>123825</xdr:rowOff>
    </xdr:from>
    <xdr:to>
      <xdr:col>4</xdr:col>
      <xdr:colOff>152400</xdr:colOff>
      <xdr:row>6</xdr:row>
      <xdr:rowOff>76200</xdr:rowOff>
    </xdr:to>
    <xdr:pic>
      <xdr:nvPicPr>
        <xdr:cNvPr id="13184" name="Picture 27" descr="emPower symbol.gif">
          <a:extLst>
            <a:ext uri="{FF2B5EF4-FFF2-40B4-BE49-F238E27FC236}">
              <a16:creationId xmlns:a16="http://schemas.microsoft.com/office/drawing/2014/main" id="{00000000-0008-0000-0000-00008033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a:xfrm>
          <a:off x="1741170" y="123825"/>
          <a:ext cx="941070" cy="958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352425</xdr:colOff>
      <xdr:row>0</xdr:row>
      <xdr:rowOff>123825</xdr:rowOff>
    </xdr:from>
    <xdr:to>
      <xdr:col>13</xdr:col>
      <xdr:colOff>28575</xdr:colOff>
      <xdr:row>6</xdr:row>
      <xdr:rowOff>66675</xdr:rowOff>
    </xdr:to>
    <xdr:pic>
      <xdr:nvPicPr>
        <xdr:cNvPr id="13185" name="Picture 28" descr="emPower symbol.gif">
          <a:extLst>
            <a:ext uri="{FF2B5EF4-FFF2-40B4-BE49-F238E27FC236}">
              <a16:creationId xmlns:a16="http://schemas.microsoft.com/office/drawing/2014/main" id="{00000000-0008-0000-0000-00008133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a:xfrm>
          <a:off x="7309485" y="123825"/>
          <a:ext cx="941070" cy="9486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433070</xdr:colOff>
      <xdr:row>30</xdr:row>
      <xdr:rowOff>156210</xdr:rowOff>
    </xdr:from>
    <xdr:to>
      <xdr:col>14</xdr:col>
      <xdr:colOff>573405</xdr:colOff>
      <xdr:row>32</xdr:row>
      <xdr:rowOff>443230</xdr:rowOff>
    </xdr:to>
    <xdr:pic>
      <xdr:nvPicPr>
        <xdr:cNvPr id="13186" name="Picture 242">
          <a:hlinkClick xmlns:r="http://schemas.openxmlformats.org/officeDocument/2006/relationships" r:id="rId10"/>
          <a:extLst>
            <a:ext uri="{FF2B5EF4-FFF2-40B4-BE49-F238E27FC236}">
              <a16:creationId xmlns:a16="http://schemas.microsoft.com/office/drawing/2014/main" id="{00000000-0008-0000-0000-0000823300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a:xfrm>
          <a:off x="8022590" y="4998720"/>
          <a:ext cx="1405255" cy="622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89048</xdr:colOff>
      <xdr:row>19</xdr:row>
      <xdr:rowOff>43133</xdr:rowOff>
    </xdr:from>
    <xdr:to>
      <xdr:col>15</xdr:col>
      <xdr:colOff>204668</xdr:colOff>
      <xdr:row>23</xdr:row>
      <xdr:rowOff>18259</xdr:rowOff>
    </xdr:to>
    <xdr:sp macro="" textlink="">
      <xdr:nvSpPr>
        <xdr:cNvPr id="18" name="Rectangle 17">
          <a:hlinkClick xmlns:r="http://schemas.openxmlformats.org/officeDocument/2006/relationships" r:id="rId12"/>
          <a:extLst>
            <a:ext uri="{FF2B5EF4-FFF2-40B4-BE49-F238E27FC236}">
              <a16:creationId xmlns:a16="http://schemas.microsoft.com/office/drawing/2014/main" id="{00000000-0008-0000-0000-000012000000}"/>
            </a:ext>
          </a:extLst>
        </xdr:cNvPr>
        <xdr:cNvSpPr>
          <a:spLocks noChangeArrowheads="1"/>
        </xdr:cNvSpPr>
      </xdr:nvSpPr>
      <xdr:spPr>
        <a:xfrm>
          <a:off x="7678420" y="3227705"/>
          <a:ext cx="2012950" cy="645795"/>
        </a:xfrm>
        <a:prstGeom prst="rect">
          <a:avLst/>
        </a:prstGeom>
        <a:gradFill flip="none" rotWithShape="1">
          <a:gsLst>
            <a:gs pos="100000">
              <a:schemeClr val="tx2">
                <a:lumMod val="60000"/>
                <a:lumOff val="40000"/>
              </a:schemeClr>
            </a:gs>
            <a:gs pos="100000">
              <a:schemeClr val="tx2">
                <a:lumMod val="60000"/>
                <a:lumOff val="40000"/>
              </a:schemeClr>
            </a:gs>
            <a:gs pos="92000">
              <a:srgbClr val="AAC7EA">
                <a:alpha val="100000"/>
              </a:srgbClr>
            </a:gs>
            <a:gs pos="99000">
              <a:srgbClr val="AAC7EA">
                <a:alpha val="100000"/>
              </a:srgbClr>
            </a:gs>
            <a:gs pos="100000">
              <a:srgbClr val="AAC7EA">
                <a:alpha val="100000"/>
              </a:srgbClr>
            </a:gs>
            <a:gs pos="12000">
              <a:schemeClr val="tx2">
                <a:lumMod val="20000"/>
                <a:lumOff val="80000"/>
              </a:schemeClr>
            </a:gs>
            <a:gs pos="100000">
              <a:schemeClr val="accent2">
                <a:lumMod val="0"/>
                <a:lumOff val="100000"/>
              </a:schemeClr>
            </a:gs>
            <a:gs pos="100000">
              <a:schemeClr val="bg1"/>
            </a:gs>
          </a:gsLst>
          <a:path path="circle"/>
        </a:gradFill>
        <a:ln w="9525">
          <a:solidFill>
            <a:srgbClr val="000000"/>
          </a:solidFill>
          <a:miter lim="800000"/>
        </a:ln>
      </xdr:spPr>
      <xdr:txBody>
        <a:bodyPr vertOverflow="clip" wrap="square" lIns="27432" tIns="22860" rIns="27432" bIns="22860" anchor="ctr" upright="1"/>
        <a:lstStyle/>
        <a:p>
          <a:pPr algn="ctr" rtl="1">
            <a:defRPr sz="1000"/>
          </a:pPr>
          <a:r>
            <a:rPr lang="en-US" sz="1200" b="1" i="0" strike="noStrike">
              <a:solidFill>
                <a:srgbClr val="000000"/>
              </a:solidFill>
              <a:latin typeface="Arial" panose="020B0604020202020204"/>
              <a:cs typeface="Arial" panose="020B0604020202020204"/>
            </a:rPr>
            <a:t>QUICK CALC</a:t>
          </a:r>
        </a:p>
      </xdr:txBody>
    </xdr:sp>
    <xdr:clientData/>
  </xdr:twoCellAnchor>
  <xdr:twoCellAnchor>
    <xdr:from>
      <xdr:col>0</xdr:col>
      <xdr:colOff>300300</xdr:colOff>
      <xdr:row>19</xdr:row>
      <xdr:rowOff>43133</xdr:rowOff>
    </xdr:from>
    <xdr:to>
      <xdr:col>3</xdr:col>
      <xdr:colOff>415921</xdr:colOff>
      <xdr:row>23</xdr:row>
      <xdr:rowOff>3971</xdr:rowOff>
    </xdr:to>
    <xdr:sp macro="" textlink="">
      <xdr:nvSpPr>
        <xdr:cNvPr id="17" name="Rectangle 16">
          <a:hlinkClick xmlns:r="http://schemas.openxmlformats.org/officeDocument/2006/relationships" r:id="rId13"/>
          <a:extLst>
            <a:ext uri="{FF2B5EF4-FFF2-40B4-BE49-F238E27FC236}">
              <a16:creationId xmlns:a16="http://schemas.microsoft.com/office/drawing/2014/main" id="{00000000-0008-0000-0000-000011000000}"/>
            </a:ext>
          </a:extLst>
        </xdr:cNvPr>
        <xdr:cNvSpPr>
          <a:spLocks noChangeArrowheads="1"/>
        </xdr:cNvSpPr>
      </xdr:nvSpPr>
      <xdr:spPr>
        <a:xfrm>
          <a:off x="299720" y="3227705"/>
          <a:ext cx="2012950" cy="631825"/>
        </a:xfrm>
        <a:prstGeom prst="rect">
          <a:avLst/>
        </a:prstGeom>
        <a:gradFill flip="none" rotWithShape="1">
          <a:gsLst>
            <a:gs pos="100000">
              <a:schemeClr val="tx2">
                <a:lumMod val="60000"/>
                <a:lumOff val="40000"/>
              </a:schemeClr>
            </a:gs>
            <a:gs pos="100000">
              <a:schemeClr val="tx2">
                <a:lumMod val="60000"/>
                <a:lumOff val="40000"/>
              </a:schemeClr>
            </a:gs>
            <a:gs pos="92000">
              <a:srgbClr val="AAC7EA">
                <a:alpha val="100000"/>
              </a:srgbClr>
            </a:gs>
            <a:gs pos="99000">
              <a:srgbClr val="AAC7EA">
                <a:alpha val="100000"/>
              </a:srgbClr>
            </a:gs>
            <a:gs pos="100000">
              <a:srgbClr val="AAC7EA">
                <a:alpha val="100000"/>
              </a:srgbClr>
            </a:gs>
            <a:gs pos="12000">
              <a:schemeClr val="tx2">
                <a:lumMod val="20000"/>
                <a:lumOff val="80000"/>
              </a:schemeClr>
            </a:gs>
            <a:gs pos="100000">
              <a:schemeClr val="accent2">
                <a:lumMod val="0"/>
                <a:lumOff val="100000"/>
              </a:schemeClr>
            </a:gs>
            <a:gs pos="100000">
              <a:schemeClr val="bg1"/>
            </a:gs>
          </a:gsLst>
          <a:path path="circle"/>
        </a:gradFill>
        <a:ln w="9525">
          <a:solidFill>
            <a:srgbClr val="000000"/>
          </a:solidFill>
          <a:miter lim="800000"/>
        </a:ln>
      </xdr:spPr>
      <xdr:txBody>
        <a:bodyPr vertOverflow="clip" wrap="square" lIns="27432" tIns="22860" rIns="27432" bIns="22860" anchor="ctr" upright="1"/>
        <a:lstStyle/>
        <a:p>
          <a:pPr algn="ctr" rtl="1">
            <a:defRPr sz="1000"/>
          </a:pPr>
          <a:r>
            <a:rPr lang="en-US" sz="1200" b="1" i="0" strike="noStrike">
              <a:solidFill>
                <a:srgbClr val="000000"/>
              </a:solidFill>
              <a:latin typeface="Arial" panose="020B0604020202020204"/>
              <a:cs typeface="Arial" panose="020B0604020202020204"/>
            </a:rPr>
            <a:t>TAXATION</a:t>
          </a:r>
        </a:p>
        <a:p>
          <a:pPr algn="ctr" rtl="1">
            <a:defRPr sz="1000"/>
          </a:pPr>
          <a:r>
            <a:rPr lang="en-US" sz="1200" b="1" i="0" strike="noStrike">
              <a:solidFill>
                <a:srgbClr val="000000"/>
              </a:solidFill>
              <a:latin typeface="Arial" panose="020B0604020202020204"/>
              <a:cs typeface="Arial" panose="020B0604020202020204"/>
            </a:rPr>
            <a:t>DEBT MF &amp;</a:t>
          </a:r>
          <a:r>
            <a:rPr lang="en-US" sz="1200" b="1" i="0" strike="noStrike" baseline="0">
              <a:solidFill>
                <a:srgbClr val="000000"/>
              </a:solidFill>
              <a:latin typeface="Arial" panose="020B0604020202020204"/>
              <a:cs typeface="Arial" panose="020B0604020202020204"/>
            </a:rPr>
            <a:t> FD</a:t>
          </a:r>
          <a:endParaRPr lang="en-US" sz="1200" b="1" i="0" strike="noStrike">
            <a:solidFill>
              <a:srgbClr val="000000"/>
            </a:solidFill>
            <a:latin typeface="Arial" panose="020B0604020202020204"/>
            <a:cs typeface="Arial" panose="020B0604020202020204"/>
          </a:endParaRPr>
        </a:p>
      </xdr:txBody>
    </xdr:sp>
    <xdr:clientData/>
  </xdr:twoCellAnchor>
  <xdr:twoCellAnchor>
    <xdr:from>
      <xdr:col>12</xdr:col>
      <xdr:colOff>84333</xdr:colOff>
      <xdr:row>14</xdr:row>
      <xdr:rowOff>25664</xdr:rowOff>
    </xdr:from>
    <xdr:to>
      <xdr:col>15</xdr:col>
      <xdr:colOff>199954</xdr:colOff>
      <xdr:row>17</xdr:row>
      <xdr:rowOff>143664</xdr:rowOff>
    </xdr:to>
    <xdr:sp macro="" textlink="">
      <xdr:nvSpPr>
        <xdr:cNvPr id="19" name="Rectangle 18">
          <a:hlinkClick xmlns:r="http://schemas.openxmlformats.org/officeDocument/2006/relationships" r:id="rId14"/>
          <a:extLst>
            <a:ext uri="{FF2B5EF4-FFF2-40B4-BE49-F238E27FC236}">
              <a16:creationId xmlns:a16="http://schemas.microsoft.com/office/drawing/2014/main" id="{00000000-0008-0000-0000-000013000000}"/>
            </a:ext>
          </a:extLst>
        </xdr:cNvPr>
        <xdr:cNvSpPr>
          <a:spLocks noChangeArrowheads="1"/>
        </xdr:cNvSpPr>
      </xdr:nvSpPr>
      <xdr:spPr>
        <a:xfrm>
          <a:off x="7673340" y="2372360"/>
          <a:ext cx="2012950" cy="621030"/>
        </a:xfrm>
        <a:prstGeom prst="rect">
          <a:avLst/>
        </a:prstGeom>
        <a:gradFill flip="none" rotWithShape="1">
          <a:gsLst>
            <a:gs pos="100000">
              <a:schemeClr val="tx2">
                <a:lumMod val="60000"/>
                <a:lumOff val="40000"/>
              </a:schemeClr>
            </a:gs>
            <a:gs pos="100000">
              <a:schemeClr val="tx2">
                <a:lumMod val="60000"/>
                <a:lumOff val="40000"/>
              </a:schemeClr>
            </a:gs>
            <a:gs pos="92000">
              <a:srgbClr val="AAC7EA">
                <a:alpha val="100000"/>
              </a:srgbClr>
            </a:gs>
            <a:gs pos="99000">
              <a:srgbClr val="AAC7EA">
                <a:alpha val="100000"/>
              </a:srgbClr>
            </a:gs>
            <a:gs pos="100000">
              <a:srgbClr val="AAC7EA">
                <a:alpha val="100000"/>
              </a:srgbClr>
            </a:gs>
            <a:gs pos="12000">
              <a:schemeClr val="tx2">
                <a:lumMod val="20000"/>
                <a:lumOff val="80000"/>
              </a:schemeClr>
            </a:gs>
            <a:gs pos="100000">
              <a:schemeClr val="accent2">
                <a:lumMod val="0"/>
                <a:lumOff val="100000"/>
              </a:schemeClr>
            </a:gs>
            <a:gs pos="100000">
              <a:schemeClr val="bg1"/>
            </a:gs>
          </a:gsLst>
          <a:path path="circle"/>
        </a:gradFill>
        <a:ln w="9525">
          <a:solidFill>
            <a:srgbClr val="000000"/>
          </a:solidFill>
          <a:miter lim="800000"/>
        </a:ln>
      </xdr:spPr>
      <xdr:txBody>
        <a:bodyPr vertOverflow="clip" wrap="square" lIns="27432" tIns="22860" rIns="27432" bIns="22860" anchor="ctr" upright="1"/>
        <a:lstStyle/>
        <a:p>
          <a:pPr algn="ctr" rtl="1">
            <a:defRPr sz="1000"/>
          </a:pPr>
          <a:r>
            <a:rPr lang="en-US" sz="1200" b="1" i="0" strike="noStrike">
              <a:solidFill>
                <a:srgbClr val="000000"/>
              </a:solidFill>
              <a:latin typeface="Arial" panose="020B0604020202020204"/>
              <a:cs typeface="Arial" panose="020B0604020202020204"/>
            </a:rPr>
            <a:t>SWP vs </a:t>
          </a:r>
        </a:p>
        <a:p>
          <a:pPr algn="ctr" rtl="1">
            <a:defRPr sz="1000"/>
          </a:pPr>
          <a:r>
            <a:rPr lang="en-US" sz="1200" b="1" i="0" strike="noStrike">
              <a:solidFill>
                <a:srgbClr val="000000"/>
              </a:solidFill>
              <a:latin typeface="Arial" panose="020B0604020202020204"/>
              <a:cs typeface="Arial" panose="020B0604020202020204"/>
            </a:rPr>
            <a:t>DIVIDEND PAYOUT</a:t>
          </a:r>
        </a:p>
      </xdr:txBody>
    </xdr:sp>
    <xdr:clientData/>
  </xdr:twoCellAnchor>
  <xdr:twoCellAnchor>
    <xdr:from>
      <xdr:col>12</xdr:col>
      <xdr:colOff>100171</xdr:colOff>
      <xdr:row>8</xdr:row>
      <xdr:rowOff>122494</xdr:rowOff>
    </xdr:from>
    <xdr:to>
      <xdr:col>15</xdr:col>
      <xdr:colOff>215791</xdr:colOff>
      <xdr:row>12</xdr:row>
      <xdr:rowOff>97620</xdr:rowOff>
    </xdr:to>
    <xdr:sp macro="" textlink="">
      <xdr:nvSpPr>
        <xdr:cNvPr id="20" name="Rectangle 19">
          <a:hlinkClick xmlns:r="http://schemas.openxmlformats.org/officeDocument/2006/relationships" r:id="rId15"/>
          <a:extLst>
            <a:ext uri="{FF2B5EF4-FFF2-40B4-BE49-F238E27FC236}">
              <a16:creationId xmlns:a16="http://schemas.microsoft.com/office/drawing/2014/main" id="{00000000-0008-0000-0000-000014000000}"/>
            </a:ext>
          </a:extLst>
        </xdr:cNvPr>
        <xdr:cNvSpPr>
          <a:spLocks noChangeArrowheads="1"/>
        </xdr:cNvSpPr>
      </xdr:nvSpPr>
      <xdr:spPr>
        <a:xfrm>
          <a:off x="7689215" y="1463040"/>
          <a:ext cx="2012950" cy="645795"/>
        </a:xfrm>
        <a:prstGeom prst="rect">
          <a:avLst/>
        </a:prstGeom>
        <a:gradFill flip="none" rotWithShape="1">
          <a:gsLst>
            <a:gs pos="100000">
              <a:schemeClr val="tx2">
                <a:lumMod val="60000"/>
                <a:lumOff val="40000"/>
              </a:schemeClr>
            </a:gs>
            <a:gs pos="100000">
              <a:schemeClr val="tx2">
                <a:lumMod val="60000"/>
                <a:lumOff val="40000"/>
              </a:schemeClr>
            </a:gs>
            <a:gs pos="92000">
              <a:srgbClr val="AAC7EA">
                <a:alpha val="100000"/>
              </a:srgbClr>
            </a:gs>
            <a:gs pos="99000">
              <a:srgbClr val="AAC7EA">
                <a:alpha val="100000"/>
              </a:srgbClr>
            </a:gs>
            <a:gs pos="100000">
              <a:srgbClr val="AAC7EA">
                <a:alpha val="100000"/>
              </a:srgbClr>
            </a:gs>
            <a:gs pos="12000">
              <a:schemeClr val="tx2">
                <a:lumMod val="20000"/>
                <a:lumOff val="80000"/>
              </a:schemeClr>
            </a:gs>
            <a:gs pos="100000">
              <a:schemeClr val="accent2">
                <a:lumMod val="0"/>
                <a:lumOff val="100000"/>
              </a:schemeClr>
            </a:gs>
            <a:gs pos="100000">
              <a:schemeClr val="bg1"/>
            </a:gs>
          </a:gsLst>
          <a:path path="circle"/>
        </a:gradFill>
        <a:ln w="9525">
          <a:solidFill>
            <a:srgbClr val="000000"/>
          </a:solidFill>
          <a:miter lim="800000"/>
        </a:ln>
      </xdr:spPr>
      <xdr:txBody>
        <a:bodyPr vertOverflow="clip" wrap="square" lIns="27432" tIns="22860" rIns="27432" bIns="22860" anchor="ctr" upright="1"/>
        <a:lstStyle/>
        <a:p>
          <a:pPr algn="ctr" rtl="1">
            <a:defRPr sz="1000"/>
          </a:pPr>
          <a:r>
            <a:rPr lang="en-US" sz="1200" b="1" i="0" strike="noStrike">
              <a:solidFill>
                <a:srgbClr val="000000"/>
              </a:solidFill>
              <a:latin typeface="Arial" panose="020B0604020202020204"/>
              <a:cs typeface="Arial" panose="020B0604020202020204"/>
            </a:rPr>
            <a:t>SIP TOP-UP</a:t>
          </a:r>
        </a:p>
      </xdr:txBody>
    </xdr:sp>
    <xdr:clientData/>
  </xdr:twoCellAnchor>
  <xdr:twoCellAnchor>
    <xdr:from>
      <xdr:col>8</xdr:col>
      <xdr:colOff>154912</xdr:colOff>
      <xdr:row>14</xdr:row>
      <xdr:rowOff>25664</xdr:rowOff>
    </xdr:from>
    <xdr:to>
      <xdr:col>11</xdr:col>
      <xdr:colOff>270533</xdr:colOff>
      <xdr:row>17</xdr:row>
      <xdr:rowOff>143664</xdr:rowOff>
    </xdr:to>
    <xdr:sp macro="" textlink="">
      <xdr:nvSpPr>
        <xdr:cNvPr id="21" name="Rectangle 20">
          <a:hlinkClick xmlns:r="http://schemas.openxmlformats.org/officeDocument/2006/relationships" r:id="rId16"/>
          <a:extLst>
            <a:ext uri="{FF2B5EF4-FFF2-40B4-BE49-F238E27FC236}">
              <a16:creationId xmlns:a16="http://schemas.microsoft.com/office/drawing/2014/main" id="{00000000-0008-0000-0000-000015000000}"/>
            </a:ext>
          </a:extLst>
        </xdr:cNvPr>
        <xdr:cNvSpPr>
          <a:spLocks noChangeArrowheads="1"/>
        </xdr:cNvSpPr>
      </xdr:nvSpPr>
      <xdr:spPr>
        <a:xfrm>
          <a:off x="5213985" y="2372360"/>
          <a:ext cx="2013585" cy="621030"/>
        </a:xfrm>
        <a:prstGeom prst="rect">
          <a:avLst/>
        </a:prstGeom>
        <a:gradFill flip="none" rotWithShape="1">
          <a:gsLst>
            <a:gs pos="100000">
              <a:schemeClr val="tx2">
                <a:lumMod val="60000"/>
                <a:lumOff val="40000"/>
              </a:schemeClr>
            </a:gs>
            <a:gs pos="100000">
              <a:schemeClr val="tx2">
                <a:lumMod val="60000"/>
                <a:lumOff val="40000"/>
              </a:schemeClr>
            </a:gs>
            <a:gs pos="92000">
              <a:srgbClr val="AAC7EA">
                <a:alpha val="100000"/>
              </a:srgbClr>
            </a:gs>
            <a:gs pos="99000">
              <a:srgbClr val="AAC7EA">
                <a:alpha val="100000"/>
              </a:srgbClr>
            </a:gs>
            <a:gs pos="100000">
              <a:srgbClr val="AAC7EA">
                <a:alpha val="100000"/>
              </a:srgbClr>
            </a:gs>
            <a:gs pos="12000">
              <a:schemeClr val="tx2">
                <a:lumMod val="20000"/>
                <a:lumOff val="80000"/>
              </a:schemeClr>
            </a:gs>
            <a:gs pos="100000">
              <a:schemeClr val="accent2">
                <a:lumMod val="0"/>
                <a:lumOff val="100000"/>
              </a:schemeClr>
            </a:gs>
            <a:gs pos="100000">
              <a:schemeClr val="bg1"/>
            </a:gs>
          </a:gsLst>
          <a:path path="circle"/>
        </a:gradFill>
        <a:ln w="9525">
          <a:solidFill>
            <a:srgbClr val="000000"/>
          </a:solidFill>
          <a:miter lim="800000"/>
        </a:ln>
      </xdr:spPr>
      <xdr:txBody>
        <a:bodyPr vertOverflow="clip" wrap="square" lIns="27432" tIns="22860" rIns="27432" bIns="22860" anchor="ctr" upright="1"/>
        <a:lstStyle/>
        <a:p>
          <a:pPr algn="ctr" rtl="1">
            <a:defRPr sz="1000"/>
          </a:pPr>
          <a:r>
            <a:rPr lang="en-US" sz="1200" b="1" i="0" strike="noStrike">
              <a:solidFill>
                <a:srgbClr val="000000"/>
              </a:solidFill>
              <a:latin typeface="Arial" panose="020B0604020202020204"/>
              <a:cs typeface="Arial" panose="020B0604020202020204"/>
            </a:rPr>
            <a:t>SWP vs </a:t>
          </a:r>
        </a:p>
        <a:p>
          <a:pPr algn="ctr" rtl="1">
            <a:defRPr sz="1000"/>
          </a:pPr>
          <a:r>
            <a:rPr lang="en-US" sz="1200" b="1" i="0" strike="noStrike">
              <a:solidFill>
                <a:srgbClr val="000000"/>
              </a:solidFill>
              <a:latin typeface="Arial" panose="020B0604020202020204"/>
              <a:cs typeface="Arial" panose="020B0604020202020204"/>
            </a:rPr>
            <a:t>INTEREST</a:t>
          </a:r>
          <a:r>
            <a:rPr lang="en-US" sz="1200" b="1" i="0" strike="noStrike" baseline="0">
              <a:solidFill>
                <a:srgbClr val="000000"/>
              </a:solidFill>
              <a:latin typeface="Arial" panose="020B0604020202020204"/>
              <a:cs typeface="Arial" panose="020B0604020202020204"/>
            </a:rPr>
            <a:t> P</a:t>
          </a:r>
          <a:r>
            <a:rPr lang="en-US" sz="1200" b="1" i="0" strike="noStrike">
              <a:solidFill>
                <a:srgbClr val="000000"/>
              </a:solidFill>
              <a:latin typeface="Arial" panose="020B0604020202020204"/>
              <a:cs typeface="Arial" panose="020B0604020202020204"/>
            </a:rPr>
            <a:t>AYOUT</a:t>
          </a:r>
        </a:p>
      </xdr:txBody>
    </xdr:sp>
    <xdr:clientData/>
  </xdr:twoCellAnchor>
  <xdr:twoCellAnchor>
    <xdr:from>
      <xdr:col>8</xdr:col>
      <xdr:colOff>179536</xdr:colOff>
      <xdr:row>19</xdr:row>
      <xdr:rowOff>43133</xdr:rowOff>
    </xdr:from>
    <xdr:to>
      <xdr:col>11</xdr:col>
      <xdr:colOff>295156</xdr:colOff>
      <xdr:row>23</xdr:row>
      <xdr:rowOff>18259</xdr:rowOff>
    </xdr:to>
    <xdr:sp macro="" textlink="">
      <xdr:nvSpPr>
        <xdr:cNvPr id="22" name="Rectangle 21">
          <a:hlinkClick xmlns:r="http://schemas.openxmlformats.org/officeDocument/2006/relationships" r:id="rId17"/>
          <a:extLst>
            <a:ext uri="{FF2B5EF4-FFF2-40B4-BE49-F238E27FC236}">
              <a16:creationId xmlns:a16="http://schemas.microsoft.com/office/drawing/2014/main" id="{00000000-0008-0000-0000-000016000000}"/>
            </a:ext>
          </a:extLst>
        </xdr:cNvPr>
        <xdr:cNvSpPr>
          <a:spLocks noChangeArrowheads="1"/>
        </xdr:cNvSpPr>
      </xdr:nvSpPr>
      <xdr:spPr>
        <a:xfrm>
          <a:off x="5238750" y="3227705"/>
          <a:ext cx="2012950" cy="645795"/>
        </a:xfrm>
        <a:prstGeom prst="rect">
          <a:avLst/>
        </a:prstGeom>
        <a:gradFill flip="none" rotWithShape="1">
          <a:gsLst>
            <a:gs pos="100000">
              <a:schemeClr val="tx2">
                <a:lumMod val="60000"/>
                <a:lumOff val="40000"/>
              </a:schemeClr>
            </a:gs>
            <a:gs pos="100000">
              <a:schemeClr val="tx2">
                <a:lumMod val="60000"/>
                <a:lumOff val="40000"/>
              </a:schemeClr>
            </a:gs>
            <a:gs pos="92000">
              <a:srgbClr val="AAC7EA">
                <a:alpha val="100000"/>
              </a:srgbClr>
            </a:gs>
            <a:gs pos="99000">
              <a:srgbClr val="AAC7EA">
                <a:alpha val="100000"/>
              </a:srgbClr>
            </a:gs>
            <a:gs pos="100000">
              <a:srgbClr val="AAC7EA">
                <a:alpha val="100000"/>
              </a:srgbClr>
            </a:gs>
            <a:gs pos="12000">
              <a:schemeClr val="tx2">
                <a:lumMod val="20000"/>
                <a:lumOff val="80000"/>
              </a:schemeClr>
            </a:gs>
            <a:gs pos="100000">
              <a:schemeClr val="accent2">
                <a:lumMod val="0"/>
                <a:lumOff val="100000"/>
              </a:schemeClr>
            </a:gs>
            <a:gs pos="100000">
              <a:schemeClr val="bg1"/>
            </a:gs>
          </a:gsLst>
          <a:path path="circle"/>
        </a:gradFill>
        <a:ln w="9525">
          <a:solidFill>
            <a:srgbClr val="000000"/>
          </a:solidFill>
          <a:miter lim="800000"/>
        </a:ln>
      </xdr:spPr>
      <xdr:txBody>
        <a:bodyPr vertOverflow="clip" wrap="square" lIns="27432" tIns="22860" rIns="27432" bIns="22860" anchor="ctr" upright="1"/>
        <a:lstStyle/>
        <a:p>
          <a:pPr algn="ctr" rtl="1">
            <a:defRPr sz="1000"/>
          </a:pPr>
          <a:r>
            <a:rPr lang="en-US" sz="1200" b="1" i="0" strike="noStrike">
              <a:solidFill>
                <a:srgbClr val="000000"/>
              </a:solidFill>
              <a:latin typeface="Arial" panose="020B0604020202020204"/>
              <a:cs typeface="Arial" panose="020B0604020202020204"/>
            </a:rPr>
            <a:t>LOAN TENURE &amp;</a:t>
          </a:r>
        </a:p>
        <a:p>
          <a:pPr algn="ctr" rtl="1">
            <a:defRPr sz="1000"/>
          </a:pPr>
          <a:r>
            <a:rPr lang="en-US" sz="1200" b="1" i="0" strike="noStrike">
              <a:solidFill>
                <a:srgbClr val="000000"/>
              </a:solidFill>
              <a:latin typeface="Arial" panose="020B0604020202020204"/>
              <a:cs typeface="Arial" panose="020B0604020202020204"/>
            </a:rPr>
            <a:t>WEALTH CREATION</a:t>
          </a:r>
        </a:p>
      </xdr:txBody>
    </xdr:sp>
    <xdr:clientData/>
  </xdr:twoCellAnchor>
  <xdr:twoCellAnchor>
    <xdr:from>
      <xdr:col>8</xdr:col>
      <xdr:colOff>179536</xdr:colOff>
      <xdr:row>24</xdr:row>
      <xdr:rowOff>62178</xdr:rowOff>
    </xdr:from>
    <xdr:to>
      <xdr:col>11</xdr:col>
      <xdr:colOff>295156</xdr:colOff>
      <xdr:row>28</xdr:row>
      <xdr:rowOff>38892</xdr:rowOff>
    </xdr:to>
    <xdr:sp macro="" textlink="">
      <xdr:nvSpPr>
        <xdr:cNvPr id="23" name="Rectangle 22">
          <a:hlinkClick xmlns:r="http://schemas.openxmlformats.org/officeDocument/2006/relationships" r:id="rId18"/>
          <a:extLst>
            <a:ext uri="{FF2B5EF4-FFF2-40B4-BE49-F238E27FC236}">
              <a16:creationId xmlns:a16="http://schemas.microsoft.com/office/drawing/2014/main" id="{00000000-0008-0000-0000-000017000000}"/>
            </a:ext>
          </a:extLst>
        </xdr:cNvPr>
        <xdr:cNvSpPr>
          <a:spLocks noChangeArrowheads="1"/>
        </xdr:cNvSpPr>
      </xdr:nvSpPr>
      <xdr:spPr>
        <a:xfrm>
          <a:off x="5238750" y="4084955"/>
          <a:ext cx="2012950" cy="647700"/>
        </a:xfrm>
        <a:prstGeom prst="rect">
          <a:avLst/>
        </a:prstGeom>
        <a:gradFill flip="none" rotWithShape="1">
          <a:gsLst>
            <a:gs pos="100000">
              <a:schemeClr val="tx2">
                <a:lumMod val="60000"/>
                <a:lumOff val="40000"/>
              </a:schemeClr>
            </a:gs>
            <a:gs pos="100000">
              <a:schemeClr val="tx2">
                <a:lumMod val="60000"/>
                <a:lumOff val="40000"/>
              </a:schemeClr>
            </a:gs>
            <a:gs pos="92000">
              <a:srgbClr val="AAC7EA">
                <a:alpha val="100000"/>
              </a:srgbClr>
            </a:gs>
            <a:gs pos="99000">
              <a:srgbClr val="AAC7EA">
                <a:alpha val="100000"/>
              </a:srgbClr>
            </a:gs>
            <a:gs pos="100000">
              <a:srgbClr val="AAC7EA">
                <a:alpha val="100000"/>
              </a:srgbClr>
            </a:gs>
            <a:gs pos="12000">
              <a:schemeClr val="tx2">
                <a:lumMod val="20000"/>
                <a:lumOff val="80000"/>
              </a:schemeClr>
            </a:gs>
            <a:gs pos="100000">
              <a:schemeClr val="accent2">
                <a:lumMod val="0"/>
                <a:lumOff val="100000"/>
              </a:schemeClr>
            </a:gs>
            <a:gs pos="100000">
              <a:schemeClr val="bg1"/>
            </a:gs>
          </a:gsLst>
          <a:path path="circle"/>
        </a:gradFill>
        <a:ln w="9525">
          <a:solidFill>
            <a:srgbClr val="000000"/>
          </a:solidFill>
          <a:miter lim="800000"/>
        </a:ln>
      </xdr:spPr>
      <xdr:txBody>
        <a:bodyPr vertOverflow="clip" wrap="square" lIns="27432" tIns="22860" rIns="27432" bIns="22860" anchor="ctr" upright="1"/>
        <a:lstStyle/>
        <a:p>
          <a:pPr algn="ctr" rtl="1">
            <a:defRPr sz="1000"/>
          </a:pPr>
          <a:r>
            <a:rPr lang="en-US" sz="1200" b="1" i="0" strike="noStrike">
              <a:solidFill>
                <a:srgbClr val="000000"/>
              </a:solidFill>
              <a:latin typeface="Arial" panose="020B0604020202020204"/>
              <a:cs typeface="Arial" panose="020B0604020202020204"/>
            </a:rPr>
            <a:t>ASSET ALLOCATION</a:t>
          </a: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161925</xdr:colOff>
      <xdr:row>0</xdr:row>
      <xdr:rowOff>104775</xdr:rowOff>
    </xdr:from>
    <xdr:to>
      <xdr:col>1</xdr:col>
      <xdr:colOff>1143000</xdr:colOff>
      <xdr:row>1</xdr:row>
      <xdr:rowOff>190500</xdr:rowOff>
    </xdr:to>
    <xdr:pic>
      <xdr:nvPicPr>
        <xdr:cNvPr id="4" name="Picture 3">
          <a:hlinkClick xmlns:r="http://schemas.openxmlformats.org/officeDocument/2006/relationships" r:id="rId1"/>
          <a:extLst>
            <a:ext uri="{FF2B5EF4-FFF2-40B4-BE49-F238E27FC236}">
              <a16:creationId xmlns:a16="http://schemas.microsoft.com/office/drawing/2014/main" id="{00000000-0008-0000-0900-000004000000}"/>
            </a:ext>
          </a:extLst>
        </xdr:cNvPr>
        <xdr:cNvPicPr>
          <a:picLocks noChangeAspect="1" noChangeArrowheads="1"/>
        </xdr:cNvPicPr>
      </xdr:nvPicPr>
      <xdr:blipFill>
        <a:blip xmlns:r="http://schemas.openxmlformats.org/officeDocument/2006/relationships" r:embed="rId2"/>
        <a:srcRect/>
        <a:stretch>
          <a:fillRect/>
        </a:stretch>
      </xdr:blipFill>
      <xdr:spPr>
        <a:xfrm>
          <a:off x="161925" y="104775"/>
          <a:ext cx="1613535" cy="466725"/>
        </a:xfrm>
        <a:prstGeom prst="roundRect">
          <a:avLst>
            <a:gd name="adj" fmla="val 4167"/>
          </a:avLst>
        </a:prstGeom>
        <a:solidFill>
          <a:srgbClr val="FFFFFF"/>
        </a:solidFill>
        <a:ln w="76200" cap="sq">
          <a:solidFill>
            <a:srgbClr val="292929"/>
          </a:solidFill>
          <a:miter lim="800000"/>
          <a:headEnd/>
          <a:tailEnd/>
        </a:ln>
        <a:effectLst>
          <a:reflection blurRad="12700" stA="28000" endPos="28000" dist="5000" dir="5400000" sy="-100000" algn="bl" rotWithShape="0"/>
        </a:effectLst>
        <a:scene3d>
          <a:camera prst="orthographicFront"/>
          <a:lightRig rig="threePt" dir="t">
            <a:rot lat="0" lon="0" rev="2700000"/>
          </a:lightRig>
        </a:scene3d>
        <a:sp3d>
          <a:bevelT h="38100"/>
          <a:contourClr>
            <a:srgbClr val="C0C0C0"/>
          </a:contourClr>
        </a:sp3d>
      </xdr:spPr>
    </xdr:pic>
    <xdr:clientData fPrintsWithSheet="0"/>
  </xdr:twoCellAnchor>
  <xdr:twoCellAnchor editAs="oneCell">
    <xdr:from>
      <xdr:col>5</xdr:col>
      <xdr:colOff>76200</xdr:colOff>
      <xdr:row>0</xdr:row>
      <xdr:rowOff>48088</xdr:rowOff>
    </xdr:from>
    <xdr:to>
      <xdr:col>6</xdr:col>
      <xdr:colOff>503238</xdr:colOff>
      <xdr:row>1</xdr:row>
      <xdr:rowOff>334961</xdr:rowOff>
    </xdr:to>
    <xdr:pic>
      <xdr:nvPicPr>
        <xdr:cNvPr id="5" name="Picture 24" descr="Prudent emPower logo txt">
          <a:extLst>
            <a:ext uri="{FF2B5EF4-FFF2-40B4-BE49-F238E27FC236}">
              <a16:creationId xmlns:a16="http://schemas.microsoft.com/office/drawing/2014/main" id="{00000000-0008-0000-0900-000005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a:xfrm>
          <a:off x="7086600" y="47625"/>
          <a:ext cx="1554480" cy="668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6</xdr:col>
      <xdr:colOff>444500</xdr:colOff>
      <xdr:row>3</xdr:row>
      <xdr:rowOff>146050</xdr:rowOff>
    </xdr:from>
    <xdr:to>
      <xdr:col>9</xdr:col>
      <xdr:colOff>174625</xdr:colOff>
      <xdr:row>6</xdr:row>
      <xdr:rowOff>53975</xdr:rowOff>
    </xdr:to>
    <xdr:pic>
      <xdr:nvPicPr>
        <xdr:cNvPr id="2" name="Picture 1">
          <a:hlinkClick xmlns:r="http://schemas.openxmlformats.org/officeDocument/2006/relationships" r:id="rId1"/>
          <a:extLst>
            <a:ext uri="{FF2B5EF4-FFF2-40B4-BE49-F238E27FC236}">
              <a16:creationId xmlns:a16="http://schemas.microsoft.com/office/drawing/2014/main" id="{00000000-0008-0000-0A00-000002000000}"/>
            </a:ext>
          </a:extLst>
        </xdr:cNvPr>
        <xdr:cNvPicPr>
          <a:picLocks noChangeAspect="1" noChangeArrowheads="1"/>
        </xdr:cNvPicPr>
      </xdr:nvPicPr>
      <xdr:blipFill>
        <a:blip xmlns:r="http://schemas.openxmlformats.org/officeDocument/2006/relationships" r:embed="rId2"/>
        <a:srcRect/>
        <a:stretch>
          <a:fillRect/>
        </a:stretch>
      </xdr:blipFill>
      <xdr:spPr>
        <a:xfrm>
          <a:off x="6319520" y="1062355"/>
          <a:ext cx="1627505" cy="456565"/>
        </a:xfrm>
        <a:prstGeom prst="roundRect">
          <a:avLst>
            <a:gd name="adj" fmla="val 4167"/>
          </a:avLst>
        </a:prstGeom>
        <a:solidFill>
          <a:srgbClr val="FFFFFF"/>
        </a:solidFill>
        <a:ln w="76200" cap="sq">
          <a:solidFill>
            <a:srgbClr val="292929"/>
          </a:solidFill>
          <a:miter lim="800000"/>
          <a:headEnd/>
          <a:tailEnd/>
        </a:ln>
        <a:effectLst>
          <a:reflection blurRad="12700" stA="28000" endPos="28000" dist="5000" dir="5400000" sy="-100000" algn="bl" rotWithShape="0"/>
        </a:effectLst>
        <a:scene3d>
          <a:camera prst="orthographicFront"/>
          <a:lightRig rig="threePt" dir="t">
            <a:rot lat="0" lon="0" rev="2700000"/>
          </a:lightRig>
        </a:scene3d>
        <a:sp3d>
          <a:bevelT h="38100"/>
          <a:contourClr>
            <a:srgbClr val="C0C0C0"/>
          </a:contourClr>
        </a:sp3d>
      </xdr:spPr>
    </xdr:pic>
    <xdr:clientData fPrintsWithSheet="0"/>
  </xdr:twoCellAnchor>
  <xdr:twoCellAnchor>
    <xdr:from>
      <xdr:col>6</xdr:col>
      <xdr:colOff>454025</xdr:colOff>
      <xdr:row>8</xdr:row>
      <xdr:rowOff>12700</xdr:rowOff>
    </xdr:from>
    <xdr:to>
      <xdr:col>9</xdr:col>
      <xdr:colOff>174625</xdr:colOff>
      <xdr:row>10</xdr:row>
      <xdr:rowOff>15875</xdr:rowOff>
    </xdr:to>
    <xdr:sp macro="" textlink="">
      <xdr:nvSpPr>
        <xdr:cNvPr id="3" name="Rounded Rectangle 2">
          <a:hlinkClick xmlns:r="http://schemas.openxmlformats.org/officeDocument/2006/relationships" r:id="rId3"/>
          <a:extLst>
            <a:ext uri="{FF2B5EF4-FFF2-40B4-BE49-F238E27FC236}">
              <a16:creationId xmlns:a16="http://schemas.microsoft.com/office/drawing/2014/main" id="{00000000-0008-0000-0A00-000003000000}"/>
            </a:ext>
          </a:extLst>
        </xdr:cNvPr>
        <xdr:cNvSpPr/>
      </xdr:nvSpPr>
      <xdr:spPr>
        <a:xfrm>
          <a:off x="6329045" y="1843405"/>
          <a:ext cx="1617980" cy="527050"/>
        </a:xfrm>
        <a:prstGeom prst="roundRect">
          <a:avLst/>
        </a:prstGeom>
        <a:solidFill>
          <a:schemeClr val="tx2">
            <a:lumMod val="60000"/>
            <a:lumOff val="40000"/>
          </a:schemeClr>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400" b="1">
              <a:solidFill>
                <a:schemeClr val="bg1"/>
              </a:solidFill>
            </a:rPr>
            <a:t>FINANCIAL PLAN OUTPUT</a:t>
          </a:r>
        </a:p>
      </xdr:txBody>
    </xdr:sp>
    <xdr:clientData fPrintsWithSheet="0"/>
  </xdr:twoCellAnchor>
  <xdr:twoCellAnchor editAs="oneCell">
    <xdr:from>
      <xdr:col>6</xdr:col>
      <xdr:colOff>304800</xdr:colOff>
      <xdr:row>0</xdr:row>
      <xdr:rowOff>95250</xdr:rowOff>
    </xdr:from>
    <xdr:to>
      <xdr:col>9</xdr:col>
      <xdr:colOff>325438</xdr:colOff>
      <xdr:row>3</xdr:row>
      <xdr:rowOff>4762</xdr:rowOff>
    </xdr:to>
    <xdr:pic>
      <xdr:nvPicPr>
        <xdr:cNvPr id="4" name="Picture 24" descr="Prudent emPower logo txt">
          <a:extLst>
            <a:ext uri="{FF2B5EF4-FFF2-40B4-BE49-F238E27FC236}">
              <a16:creationId xmlns:a16="http://schemas.microsoft.com/office/drawing/2014/main" id="{00000000-0008-0000-0A00-000004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a:xfrm>
          <a:off x="6179820" y="95250"/>
          <a:ext cx="1917700" cy="825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wsDr>
</file>

<file path=xl/drawings/drawing12.xml><?xml version="1.0" encoding="utf-8"?>
<xdr:wsDr xmlns:xdr="http://schemas.openxmlformats.org/drawingml/2006/spreadsheetDrawing" xmlns:a="http://schemas.openxmlformats.org/drawingml/2006/main">
  <xdr:twoCellAnchor editAs="oneCell">
    <xdr:from>
      <xdr:col>10</xdr:col>
      <xdr:colOff>114301</xdr:colOff>
      <xdr:row>0</xdr:row>
      <xdr:rowOff>161925</xdr:rowOff>
    </xdr:from>
    <xdr:to>
      <xdr:col>10</xdr:col>
      <xdr:colOff>716381</xdr:colOff>
      <xdr:row>2</xdr:row>
      <xdr:rowOff>86106</xdr:rowOff>
    </xdr:to>
    <xdr:pic>
      <xdr:nvPicPr>
        <xdr:cNvPr id="2" name="Picture 1">
          <a:hlinkClick xmlns:r="http://schemas.openxmlformats.org/officeDocument/2006/relationships" r:id="rId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625840" y="161925"/>
          <a:ext cx="601980" cy="457200"/>
        </a:xfrm>
        <a:prstGeom prst="rect">
          <a:avLst/>
        </a:prstGeom>
      </xdr:spPr>
    </xdr:pic>
    <xdr:clientData fPrintsWithSheet="0"/>
  </xdr:twoCellAnchor>
  <xdr:twoCellAnchor editAs="oneCell">
    <xdr:from>
      <xdr:col>8</xdr:col>
      <xdr:colOff>57150</xdr:colOff>
      <xdr:row>15</xdr:row>
      <xdr:rowOff>45754</xdr:rowOff>
    </xdr:from>
    <xdr:to>
      <xdr:col>11</xdr:col>
      <xdr:colOff>0</xdr:colOff>
      <xdr:row>18</xdr:row>
      <xdr:rowOff>80961</xdr:rowOff>
    </xdr:to>
    <xdr:pic>
      <xdr:nvPicPr>
        <xdr:cNvPr id="3" name="Picture 24" descr="Prudent emPower logo txt">
          <a:extLst>
            <a:ext uri="{FF2B5EF4-FFF2-40B4-BE49-F238E27FC236}">
              <a16:creationId xmlns:a16="http://schemas.microsoft.com/office/drawing/2014/main" id="{00000000-0008-0000-0B00-000003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a:xfrm>
          <a:off x="7661910" y="3455670"/>
          <a:ext cx="1672590" cy="720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wsDr>
</file>

<file path=xl/drawings/drawing13.xml><?xml version="1.0" encoding="utf-8"?>
<xdr:wsDr xmlns:xdr="http://schemas.openxmlformats.org/drawingml/2006/spreadsheetDrawing" xmlns:a="http://schemas.openxmlformats.org/drawingml/2006/main">
  <xdr:twoCellAnchor>
    <xdr:from>
      <xdr:col>12</xdr:col>
      <xdr:colOff>457200</xdr:colOff>
      <xdr:row>9</xdr:row>
      <xdr:rowOff>177800</xdr:rowOff>
    </xdr:from>
    <xdr:to>
      <xdr:col>15</xdr:col>
      <xdr:colOff>279400</xdr:colOff>
      <xdr:row>13</xdr:row>
      <xdr:rowOff>190500</xdr:rowOff>
    </xdr:to>
    <xdr:sp macro="" textlink="">
      <xdr:nvSpPr>
        <xdr:cNvPr id="2" name="Rounded Rectangle 1">
          <a:hlinkClick xmlns:r="http://schemas.openxmlformats.org/officeDocument/2006/relationships" r:id="rId1" tooltip="SIP Quick CALC"/>
          <a:extLst>
            <a:ext uri="{FF2B5EF4-FFF2-40B4-BE49-F238E27FC236}">
              <a16:creationId xmlns:a16="http://schemas.microsoft.com/office/drawing/2014/main" id="{00000000-0008-0000-0C00-000002000000}"/>
            </a:ext>
          </a:extLst>
        </xdr:cNvPr>
        <xdr:cNvSpPr/>
      </xdr:nvSpPr>
      <xdr:spPr>
        <a:xfrm>
          <a:off x="8229600" y="2094230"/>
          <a:ext cx="1605280" cy="828040"/>
        </a:xfrm>
        <a:prstGeom prst="roundRect">
          <a:avLst/>
        </a:prstGeom>
        <a:solidFill>
          <a:schemeClr val="tx2">
            <a:lumMod val="60000"/>
            <a:lumOff val="40000"/>
          </a:schemeClr>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ctr"/>
          <a:r>
            <a:rPr lang="en-IN" sz="1400" b="1">
              <a:solidFill>
                <a:srgbClr val="FFFF00"/>
              </a:solidFill>
              <a:latin typeface="Times New Roman" panose="02020603050405020304" pitchFamily="18" charset="0"/>
              <a:cs typeface="Times New Roman" panose="02020603050405020304" pitchFamily="18" charset="0"/>
            </a:rPr>
            <a:t>Click Here </a:t>
          </a:r>
          <a:r>
            <a:rPr lang="en-IN" sz="1400" b="1">
              <a:solidFill>
                <a:schemeClr val="bg1"/>
              </a:solidFill>
              <a:latin typeface="Times New Roman" panose="02020603050405020304" pitchFamily="18" charset="0"/>
              <a:cs typeface="Times New Roman" panose="02020603050405020304" pitchFamily="18" charset="0"/>
            </a:rPr>
            <a:t>for QUICK CALC (SIP)</a:t>
          </a:r>
        </a:p>
      </xdr:txBody>
    </xdr:sp>
    <xdr:clientData fPrintsWithSheet="0"/>
  </xdr:twoCellAnchor>
  <xdr:twoCellAnchor editAs="oneCell">
    <xdr:from>
      <xdr:col>12</xdr:col>
      <xdr:colOff>425450</xdr:colOff>
      <xdr:row>5</xdr:row>
      <xdr:rowOff>152400</xdr:rowOff>
    </xdr:from>
    <xdr:to>
      <xdr:col>15</xdr:col>
      <xdr:colOff>250825</xdr:colOff>
      <xdr:row>8</xdr:row>
      <xdr:rowOff>3175</xdr:rowOff>
    </xdr:to>
    <xdr:pic>
      <xdr:nvPicPr>
        <xdr:cNvPr id="3" name="Picture 2">
          <a:hlinkClick xmlns:r="http://schemas.openxmlformats.org/officeDocument/2006/relationships" r:id="rId2"/>
          <a:extLst>
            <a:ext uri="{FF2B5EF4-FFF2-40B4-BE49-F238E27FC236}">
              <a16:creationId xmlns:a16="http://schemas.microsoft.com/office/drawing/2014/main" id="{00000000-0008-0000-0C00-000003000000}"/>
            </a:ext>
          </a:extLst>
        </xdr:cNvPr>
        <xdr:cNvPicPr>
          <a:picLocks noChangeAspect="1" noChangeArrowheads="1"/>
        </xdr:cNvPicPr>
      </xdr:nvPicPr>
      <xdr:blipFill>
        <a:blip xmlns:r="http://schemas.openxmlformats.org/officeDocument/2006/relationships" r:embed="rId3"/>
        <a:srcRect/>
        <a:stretch>
          <a:fillRect/>
        </a:stretch>
      </xdr:blipFill>
      <xdr:spPr>
        <a:xfrm>
          <a:off x="8197850" y="1253490"/>
          <a:ext cx="1608455" cy="462280"/>
        </a:xfrm>
        <a:prstGeom prst="roundRect">
          <a:avLst>
            <a:gd name="adj" fmla="val 4167"/>
          </a:avLst>
        </a:prstGeom>
        <a:solidFill>
          <a:srgbClr val="FFFFFF"/>
        </a:solidFill>
        <a:ln w="76200" cap="sq">
          <a:solidFill>
            <a:srgbClr val="292929"/>
          </a:solidFill>
          <a:miter lim="800000"/>
          <a:headEnd/>
          <a:tailEnd/>
        </a:ln>
        <a:effectLst>
          <a:reflection blurRad="12700" stA="28000" endPos="28000" dist="5000" dir="5400000" sy="-100000" algn="bl" rotWithShape="0"/>
        </a:effectLst>
        <a:scene3d>
          <a:camera prst="orthographicFront"/>
          <a:lightRig rig="threePt" dir="t">
            <a:rot lat="0" lon="0" rev="2700000"/>
          </a:lightRig>
        </a:scene3d>
        <a:sp3d>
          <a:bevelT h="38100"/>
          <a:contourClr>
            <a:srgbClr val="C0C0C0"/>
          </a:contourClr>
        </a:sp3d>
      </xdr:spPr>
    </xdr:pic>
    <xdr:clientData fPrintsWithSheet="0"/>
  </xdr:twoCellAnchor>
  <xdr:twoCellAnchor editAs="oneCell">
    <xdr:from>
      <xdr:col>12</xdr:col>
      <xdr:colOff>328612</xdr:colOff>
      <xdr:row>0</xdr:row>
      <xdr:rowOff>190500</xdr:rowOff>
    </xdr:from>
    <xdr:to>
      <xdr:col>15</xdr:col>
      <xdr:colOff>330200</xdr:colOff>
      <xdr:row>4</xdr:row>
      <xdr:rowOff>119062</xdr:rowOff>
    </xdr:to>
    <xdr:pic>
      <xdr:nvPicPr>
        <xdr:cNvPr id="4" name="Picture 24" descr="Prudent emPower logo txt">
          <a:extLst>
            <a:ext uri="{FF2B5EF4-FFF2-40B4-BE49-F238E27FC236}">
              <a16:creationId xmlns:a16="http://schemas.microsoft.com/office/drawing/2014/main" id="{00000000-0008-0000-0C00-000004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a:xfrm>
          <a:off x="8100695" y="190500"/>
          <a:ext cx="1784985" cy="825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wsDr>
</file>

<file path=xl/drawings/drawing14.xml><?xml version="1.0" encoding="utf-8"?>
<xdr:wsDr xmlns:xdr="http://schemas.openxmlformats.org/drawingml/2006/spreadsheetDrawing" xmlns:a="http://schemas.openxmlformats.org/drawingml/2006/main">
  <xdr:twoCellAnchor editAs="oneCell">
    <xdr:from>
      <xdr:col>12</xdr:col>
      <xdr:colOff>452120</xdr:colOff>
      <xdr:row>5</xdr:row>
      <xdr:rowOff>171450</xdr:rowOff>
    </xdr:from>
    <xdr:to>
      <xdr:col>15</xdr:col>
      <xdr:colOff>277495</xdr:colOff>
      <xdr:row>8</xdr:row>
      <xdr:rowOff>22225</xdr:rowOff>
    </xdr:to>
    <xdr:pic>
      <xdr:nvPicPr>
        <xdr:cNvPr id="2" name="Picture 1">
          <a:hlinkClick xmlns:r="http://schemas.openxmlformats.org/officeDocument/2006/relationships" r:id="rId1"/>
          <a:extLst>
            <a:ext uri="{FF2B5EF4-FFF2-40B4-BE49-F238E27FC236}">
              <a16:creationId xmlns:a16="http://schemas.microsoft.com/office/drawing/2014/main" id="{00000000-0008-0000-0D00-000002000000}"/>
            </a:ext>
          </a:extLst>
        </xdr:cNvPr>
        <xdr:cNvPicPr>
          <a:picLocks noChangeAspect="1" noChangeArrowheads="1"/>
        </xdr:cNvPicPr>
      </xdr:nvPicPr>
      <xdr:blipFill>
        <a:blip xmlns:r="http://schemas.openxmlformats.org/officeDocument/2006/relationships" r:embed="rId2"/>
        <a:srcRect/>
        <a:stretch>
          <a:fillRect/>
        </a:stretch>
      </xdr:blipFill>
      <xdr:spPr>
        <a:xfrm>
          <a:off x="8224520" y="1272540"/>
          <a:ext cx="1608455" cy="462280"/>
        </a:xfrm>
        <a:prstGeom prst="roundRect">
          <a:avLst>
            <a:gd name="adj" fmla="val 4167"/>
          </a:avLst>
        </a:prstGeom>
        <a:solidFill>
          <a:srgbClr val="FFFFFF"/>
        </a:solidFill>
        <a:ln w="76200" cap="sq">
          <a:solidFill>
            <a:srgbClr val="292929"/>
          </a:solidFill>
          <a:miter lim="800000"/>
          <a:headEnd/>
          <a:tailEnd/>
        </a:ln>
        <a:effectLst>
          <a:reflection blurRad="12700" stA="28000" endPos="28000" dist="5000" dir="5400000" sy="-100000" algn="bl" rotWithShape="0"/>
        </a:effectLst>
        <a:scene3d>
          <a:camera prst="orthographicFront"/>
          <a:lightRig rig="threePt" dir="t">
            <a:rot lat="0" lon="0" rev="2700000"/>
          </a:lightRig>
        </a:scene3d>
        <a:sp3d>
          <a:bevelT h="38100"/>
          <a:contourClr>
            <a:srgbClr val="C0C0C0"/>
          </a:contourClr>
        </a:sp3d>
      </xdr:spPr>
    </xdr:pic>
    <xdr:clientData fPrintsWithSheet="0"/>
  </xdr:twoCellAnchor>
  <xdr:twoCellAnchor>
    <xdr:from>
      <xdr:col>12</xdr:col>
      <xdr:colOff>463550</xdr:colOff>
      <xdr:row>9</xdr:row>
      <xdr:rowOff>190500</xdr:rowOff>
    </xdr:from>
    <xdr:to>
      <xdr:col>15</xdr:col>
      <xdr:colOff>287150</xdr:colOff>
      <xdr:row>13</xdr:row>
      <xdr:rowOff>202100</xdr:rowOff>
    </xdr:to>
    <xdr:sp macro="" textlink="">
      <xdr:nvSpPr>
        <xdr:cNvPr id="3" name="Rounded Rectangle 2">
          <a:hlinkClick xmlns:r="http://schemas.openxmlformats.org/officeDocument/2006/relationships" r:id="rId3" tooltip="LUMP SUM Quick CALC"/>
          <a:extLst>
            <a:ext uri="{FF2B5EF4-FFF2-40B4-BE49-F238E27FC236}">
              <a16:creationId xmlns:a16="http://schemas.microsoft.com/office/drawing/2014/main" id="{00000000-0008-0000-0D00-000003000000}"/>
            </a:ext>
          </a:extLst>
        </xdr:cNvPr>
        <xdr:cNvSpPr/>
      </xdr:nvSpPr>
      <xdr:spPr>
        <a:xfrm>
          <a:off x="8235950" y="2106930"/>
          <a:ext cx="1606550" cy="826770"/>
        </a:xfrm>
        <a:prstGeom prst="roundRect">
          <a:avLst/>
        </a:prstGeom>
        <a:solidFill>
          <a:schemeClr val="tx2">
            <a:lumMod val="60000"/>
            <a:lumOff val="40000"/>
          </a:schemeClr>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ctr"/>
          <a:r>
            <a:rPr lang="en-IN" sz="1400" b="1">
              <a:solidFill>
                <a:srgbClr val="FFFF00"/>
              </a:solidFill>
              <a:latin typeface="Times New Roman" panose="02020603050405020304" pitchFamily="18" charset="0"/>
              <a:cs typeface="Times New Roman" panose="02020603050405020304" pitchFamily="18" charset="0"/>
            </a:rPr>
            <a:t>Click Here</a:t>
          </a:r>
          <a:r>
            <a:rPr lang="en-IN" sz="1400" b="1">
              <a:solidFill>
                <a:schemeClr val="bg1"/>
              </a:solidFill>
              <a:latin typeface="Times New Roman" panose="02020603050405020304" pitchFamily="18" charset="0"/>
              <a:cs typeface="Times New Roman" panose="02020603050405020304" pitchFamily="18" charset="0"/>
            </a:rPr>
            <a:t> for QUICK CALC (Lump-Sum)</a:t>
          </a:r>
        </a:p>
      </xdr:txBody>
    </xdr:sp>
    <xdr:clientData fPrintsWithSheet="0"/>
  </xdr:twoCellAnchor>
  <xdr:twoCellAnchor editAs="oneCell">
    <xdr:from>
      <xdr:col>13</xdr:col>
      <xdr:colOff>283210</xdr:colOff>
      <xdr:row>14</xdr:row>
      <xdr:rowOff>77470</xdr:rowOff>
    </xdr:from>
    <xdr:to>
      <xdr:col>15</xdr:col>
      <xdr:colOff>41910</xdr:colOff>
      <xdr:row>16</xdr:row>
      <xdr:rowOff>110069</xdr:rowOff>
    </xdr:to>
    <xdr:pic>
      <xdr:nvPicPr>
        <xdr:cNvPr id="4" name="Picture 24" descr="Prudent emPower logo txt">
          <a:extLst>
            <a:ext uri="{FF2B5EF4-FFF2-40B4-BE49-F238E27FC236}">
              <a16:creationId xmlns:a16="http://schemas.microsoft.com/office/drawing/2014/main" id="{00000000-0008-0000-0D00-000004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a:xfrm>
          <a:off x="8649970" y="3013075"/>
          <a:ext cx="947420" cy="4400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wsDr>
</file>

<file path=xl/drawings/drawing15.xml><?xml version="1.0" encoding="utf-8"?>
<xdr:wsDr xmlns:xdr="http://schemas.openxmlformats.org/drawingml/2006/spreadsheetDrawing" xmlns:a="http://schemas.openxmlformats.org/drawingml/2006/main">
  <xdr:twoCellAnchor editAs="oneCell">
    <xdr:from>
      <xdr:col>1</xdr:col>
      <xdr:colOff>97372</xdr:colOff>
      <xdr:row>12</xdr:row>
      <xdr:rowOff>146048</xdr:rowOff>
    </xdr:from>
    <xdr:to>
      <xdr:col>2</xdr:col>
      <xdr:colOff>952505</xdr:colOff>
      <xdr:row>15</xdr:row>
      <xdr:rowOff>39147</xdr:rowOff>
    </xdr:to>
    <xdr:pic>
      <xdr:nvPicPr>
        <xdr:cNvPr id="2" name="Picture 24" descr="Prudent emPower logo txt">
          <a:extLst>
            <a:ext uri="{FF2B5EF4-FFF2-40B4-BE49-F238E27FC236}">
              <a16:creationId xmlns:a16="http://schemas.microsoft.com/office/drawing/2014/main" id="{00000000-0008-0000-0E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241935" y="3402965"/>
          <a:ext cx="1884045"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120650</xdr:colOff>
      <xdr:row>1</xdr:row>
      <xdr:rowOff>25400</xdr:rowOff>
    </xdr:from>
    <xdr:to>
      <xdr:col>9</xdr:col>
      <xdr:colOff>555625</xdr:colOff>
      <xdr:row>2</xdr:row>
      <xdr:rowOff>219075</xdr:rowOff>
    </xdr:to>
    <xdr:pic>
      <xdr:nvPicPr>
        <xdr:cNvPr id="3" name="Picture 2">
          <a:hlinkClick xmlns:r="http://schemas.openxmlformats.org/officeDocument/2006/relationships" r:id="rId2"/>
          <a:extLst>
            <a:ext uri="{FF2B5EF4-FFF2-40B4-BE49-F238E27FC236}">
              <a16:creationId xmlns:a16="http://schemas.microsoft.com/office/drawing/2014/main" id="{00000000-0008-0000-0E00-000003000000}"/>
            </a:ext>
          </a:extLst>
        </xdr:cNvPr>
        <xdr:cNvPicPr>
          <a:picLocks noChangeAspect="1" noChangeArrowheads="1"/>
        </xdr:cNvPicPr>
      </xdr:nvPicPr>
      <xdr:blipFill>
        <a:blip xmlns:r="http://schemas.openxmlformats.org/officeDocument/2006/relationships" r:embed="rId3"/>
        <a:srcRect/>
        <a:stretch>
          <a:fillRect/>
        </a:stretch>
      </xdr:blipFill>
      <xdr:spPr>
        <a:xfrm>
          <a:off x="7108190" y="202565"/>
          <a:ext cx="1623695" cy="473710"/>
        </a:xfrm>
        <a:prstGeom prst="roundRect">
          <a:avLst>
            <a:gd name="adj" fmla="val 4167"/>
          </a:avLst>
        </a:prstGeom>
        <a:solidFill>
          <a:srgbClr val="FFFFFF"/>
        </a:solidFill>
        <a:ln w="76200" cap="sq">
          <a:solidFill>
            <a:srgbClr val="292929"/>
          </a:solidFill>
          <a:miter lim="800000"/>
          <a:headEnd/>
          <a:tailEnd/>
        </a:ln>
        <a:effectLst>
          <a:reflection blurRad="12700" stA="28000" endPos="28000" dist="5000" dir="5400000" sy="-100000" algn="bl" rotWithShape="0"/>
        </a:effectLst>
        <a:scene3d>
          <a:camera prst="orthographicFront"/>
          <a:lightRig rig="threePt" dir="t">
            <a:rot lat="0" lon="0" rev="2700000"/>
          </a:lightRig>
        </a:scene3d>
        <a:sp3d>
          <a:bevelT h="38100"/>
          <a:contourClr>
            <a:srgbClr val="C0C0C0"/>
          </a:contourClr>
        </a:sp3d>
      </xdr:spPr>
    </xdr:pic>
    <xdr:clientData fPrintsWithSheet="0"/>
  </xdr:twoCellAnchor>
</xdr:wsDr>
</file>

<file path=xl/drawings/drawing16.xml><?xml version="1.0" encoding="utf-8"?>
<xdr:wsDr xmlns:xdr="http://schemas.openxmlformats.org/drawingml/2006/spreadsheetDrawing" xmlns:a="http://schemas.openxmlformats.org/drawingml/2006/main">
  <xdr:twoCellAnchor>
    <xdr:from>
      <xdr:col>3</xdr:col>
      <xdr:colOff>358140</xdr:colOff>
      <xdr:row>1</xdr:row>
      <xdr:rowOff>42758</xdr:rowOff>
    </xdr:from>
    <xdr:to>
      <xdr:col>5</xdr:col>
      <xdr:colOff>561340</xdr:colOff>
      <xdr:row>4</xdr:row>
      <xdr:rowOff>42758</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0F00-000002000000}"/>
            </a:ext>
          </a:extLst>
        </xdr:cNvPr>
        <xdr:cNvSpPr/>
      </xdr:nvSpPr>
      <xdr:spPr>
        <a:xfrm>
          <a:off x="2377440" y="225425"/>
          <a:ext cx="1971040" cy="765810"/>
        </a:xfrm>
        <a:prstGeom prst="rect">
          <a:avLst/>
        </a:prstGeom>
        <a:solidFill>
          <a:schemeClr val="tx2">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IN" sz="1400" b="1"/>
            <a:t>Click Here for </a:t>
          </a:r>
        </a:p>
        <a:p>
          <a:pPr algn="ctr"/>
          <a:r>
            <a:rPr lang="en-IN" sz="1400" b="1"/>
            <a:t>Detailed Cash-Flow</a:t>
          </a:r>
          <a:r>
            <a:rPr lang="en-IN" sz="1400" b="1" baseline="0"/>
            <a:t> (Month-wise SWP)</a:t>
          </a:r>
          <a:endParaRPr lang="en-IN" sz="1400" b="1"/>
        </a:p>
      </xdr:txBody>
    </xdr:sp>
    <xdr:clientData fPrintsWithSheet="0"/>
  </xdr:twoCellAnchor>
  <xdr:twoCellAnchor editAs="oneCell">
    <xdr:from>
      <xdr:col>12</xdr:col>
      <xdr:colOff>76200</xdr:colOff>
      <xdr:row>2</xdr:row>
      <xdr:rowOff>107412</xdr:rowOff>
    </xdr:from>
    <xdr:to>
      <xdr:col>14</xdr:col>
      <xdr:colOff>0</xdr:colOff>
      <xdr:row>4</xdr:row>
      <xdr:rowOff>42861</xdr:rowOff>
    </xdr:to>
    <xdr:pic>
      <xdr:nvPicPr>
        <xdr:cNvPr id="3" name="Picture 24" descr="Prudent emPower logo txt">
          <a:extLst>
            <a:ext uri="{FF2B5EF4-FFF2-40B4-BE49-F238E27FC236}">
              <a16:creationId xmlns:a16="http://schemas.microsoft.com/office/drawing/2014/main" id="{00000000-0008-0000-0F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9296400" y="545465"/>
          <a:ext cx="1112520" cy="4457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107951</xdr:colOff>
      <xdr:row>0</xdr:row>
      <xdr:rowOff>80010</xdr:rowOff>
    </xdr:from>
    <xdr:to>
      <xdr:col>15</xdr:col>
      <xdr:colOff>15241</xdr:colOff>
      <xdr:row>1</xdr:row>
      <xdr:rowOff>216226</xdr:rowOff>
    </xdr:to>
    <xdr:pic>
      <xdr:nvPicPr>
        <xdr:cNvPr id="4" name="Picture 3">
          <a:hlinkClick xmlns:r="http://schemas.openxmlformats.org/officeDocument/2006/relationships" r:id="rId3"/>
          <a:extLst>
            <a:ext uri="{FF2B5EF4-FFF2-40B4-BE49-F238E27FC236}">
              <a16:creationId xmlns:a16="http://schemas.microsoft.com/office/drawing/2014/main" id="{00000000-0008-0000-0F00-000004000000}"/>
            </a:ext>
          </a:extLst>
        </xdr:cNvPr>
        <xdr:cNvPicPr>
          <a:picLocks noChangeAspect="1" noChangeArrowheads="1"/>
        </xdr:cNvPicPr>
      </xdr:nvPicPr>
      <xdr:blipFill>
        <a:blip xmlns:r="http://schemas.openxmlformats.org/officeDocument/2006/relationships" r:embed="rId4"/>
        <a:srcRect/>
        <a:stretch>
          <a:fillRect/>
        </a:stretch>
      </xdr:blipFill>
      <xdr:spPr>
        <a:xfrm>
          <a:off x="9328150" y="80010"/>
          <a:ext cx="1096010" cy="318770"/>
        </a:xfrm>
        <a:prstGeom prst="roundRect">
          <a:avLst>
            <a:gd name="adj" fmla="val 4167"/>
          </a:avLst>
        </a:prstGeom>
        <a:solidFill>
          <a:srgbClr val="FFFFFF"/>
        </a:solidFill>
        <a:ln w="76200" cap="sq">
          <a:solidFill>
            <a:srgbClr val="292929"/>
          </a:solidFill>
          <a:miter lim="800000"/>
          <a:headEnd/>
          <a:tailEnd/>
        </a:ln>
        <a:effectLst>
          <a:reflection blurRad="12700" stA="28000" endPos="28000" dist="5000" dir="5400000" sy="-100000" algn="bl" rotWithShape="0"/>
        </a:effectLst>
        <a:scene3d>
          <a:camera prst="orthographicFront"/>
          <a:lightRig rig="threePt" dir="t">
            <a:rot lat="0" lon="0" rev="2700000"/>
          </a:lightRig>
        </a:scene3d>
        <a:sp3d>
          <a:bevelT h="38100"/>
          <a:contourClr>
            <a:srgbClr val="C0C0C0"/>
          </a:contourClr>
        </a:sp3d>
      </xdr:spPr>
    </xdr:pic>
    <xdr:clientData fPrintsWithSheet="0"/>
  </xdr:twoCellAnchor>
</xdr:wsDr>
</file>

<file path=xl/drawings/drawing17.xml><?xml version="1.0" encoding="utf-8"?>
<xdr:wsDr xmlns:xdr="http://schemas.openxmlformats.org/drawingml/2006/spreadsheetDrawing" xmlns:a="http://schemas.openxmlformats.org/drawingml/2006/main">
  <xdr:twoCellAnchor editAs="oneCell">
    <xdr:from>
      <xdr:col>9</xdr:col>
      <xdr:colOff>735625</xdr:colOff>
      <xdr:row>0</xdr:row>
      <xdr:rowOff>171233</xdr:rowOff>
    </xdr:from>
    <xdr:to>
      <xdr:col>11</xdr:col>
      <xdr:colOff>48325</xdr:colOff>
      <xdr:row>3</xdr:row>
      <xdr:rowOff>31897</xdr:rowOff>
    </xdr:to>
    <xdr:pic>
      <xdr:nvPicPr>
        <xdr:cNvPr id="3" name="Picture 24" descr="Prudent emPower logo txt">
          <a:extLst>
            <a:ext uri="{FF2B5EF4-FFF2-40B4-BE49-F238E27FC236}">
              <a16:creationId xmlns:a16="http://schemas.microsoft.com/office/drawing/2014/main" id="{00000000-0008-0000-10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6915150" y="170815"/>
          <a:ext cx="104267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9</xdr:col>
      <xdr:colOff>38101</xdr:colOff>
      <xdr:row>0</xdr:row>
      <xdr:rowOff>141514</xdr:rowOff>
    </xdr:from>
    <xdr:to>
      <xdr:col>9</xdr:col>
      <xdr:colOff>612795</xdr:colOff>
      <xdr:row>3</xdr:row>
      <xdr:rowOff>27466</xdr:rowOff>
    </xdr:to>
    <xdr:pic>
      <xdr:nvPicPr>
        <xdr:cNvPr id="4" name="Picture 3">
          <a:hlinkClick xmlns:r="http://schemas.openxmlformats.org/officeDocument/2006/relationships" r:id="rId2"/>
          <a:extLst>
            <a:ext uri="{FF2B5EF4-FFF2-40B4-BE49-F238E27FC236}">
              <a16:creationId xmlns:a16="http://schemas.microsoft.com/office/drawing/2014/main" id="{00000000-0008-0000-10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217920" y="140970"/>
          <a:ext cx="574675" cy="434975"/>
        </a:xfrm>
        <a:prstGeom prst="rect">
          <a:avLst/>
        </a:prstGeom>
      </xdr:spPr>
    </xdr:pic>
    <xdr:clientData fPrintsWithSheet="0"/>
  </xdr:twoCellAnchor>
</xdr:wsDr>
</file>

<file path=xl/drawings/drawing18.xml><?xml version="1.0" encoding="utf-8"?>
<xdr:wsDr xmlns:xdr="http://schemas.openxmlformats.org/drawingml/2006/spreadsheetDrawing" xmlns:a="http://schemas.openxmlformats.org/drawingml/2006/main">
  <xdr:twoCellAnchor>
    <xdr:from>
      <xdr:col>3</xdr:col>
      <xdr:colOff>358140</xdr:colOff>
      <xdr:row>1</xdr:row>
      <xdr:rowOff>38525</xdr:rowOff>
    </xdr:from>
    <xdr:to>
      <xdr:col>5</xdr:col>
      <xdr:colOff>561340</xdr:colOff>
      <xdr:row>4</xdr:row>
      <xdr:rowOff>38525</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1100-000002000000}"/>
            </a:ext>
          </a:extLst>
        </xdr:cNvPr>
        <xdr:cNvSpPr/>
      </xdr:nvSpPr>
      <xdr:spPr>
        <a:xfrm>
          <a:off x="2377440" y="220980"/>
          <a:ext cx="1971040" cy="765810"/>
        </a:xfrm>
        <a:prstGeom prst="rect">
          <a:avLst/>
        </a:prstGeom>
        <a:solidFill>
          <a:schemeClr val="tx2">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IN" sz="1400" b="1"/>
            <a:t>Click Here for </a:t>
          </a:r>
        </a:p>
        <a:p>
          <a:pPr algn="ctr"/>
          <a:r>
            <a:rPr lang="en-IN" sz="1400" b="1"/>
            <a:t>Detailed Cash-Flow</a:t>
          </a:r>
          <a:r>
            <a:rPr lang="en-IN" sz="1400" b="1" baseline="0"/>
            <a:t> (Month-wise SWP)</a:t>
          </a:r>
          <a:endParaRPr lang="en-IN" sz="1400" b="1"/>
        </a:p>
      </xdr:txBody>
    </xdr:sp>
    <xdr:clientData fPrintsWithSheet="0"/>
  </xdr:twoCellAnchor>
  <xdr:twoCellAnchor editAs="oneCell">
    <xdr:from>
      <xdr:col>12</xdr:col>
      <xdr:colOff>129540</xdr:colOff>
      <xdr:row>2</xdr:row>
      <xdr:rowOff>92172</xdr:rowOff>
    </xdr:from>
    <xdr:to>
      <xdr:col>15</xdr:col>
      <xdr:colOff>49530</xdr:colOff>
      <xdr:row>4</xdr:row>
      <xdr:rowOff>27621</xdr:rowOff>
    </xdr:to>
    <xdr:pic>
      <xdr:nvPicPr>
        <xdr:cNvPr id="5" name="Picture 24" descr="Prudent emPower logo txt">
          <a:extLst>
            <a:ext uri="{FF2B5EF4-FFF2-40B4-BE49-F238E27FC236}">
              <a16:creationId xmlns:a16="http://schemas.microsoft.com/office/drawing/2014/main" id="{00000000-0008-0000-11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9349740" y="530225"/>
          <a:ext cx="1108710" cy="4457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161291</xdr:colOff>
      <xdr:row>0</xdr:row>
      <xdr:rowOff>64770</xdr:rowOff>
    </xdr:from>
    <xdr:to>
      <xdr:col>15</xdr:col>
      <xdr:colOff>68581</xdr:colOff>
      <xdr:row>1</xdr:row>
      <xdr:rowOff>200986</xdr:rowOff>
    </xdr:to>
    <xdr:pic>
      <xdr:nvPicPr>
        <xdr:cNvPr id="6" name="Picture 5">
          <a:hlinkClick xmlns:r="http://schemas.openxmlformats.org/officeDocument/2006/relationships" r:id="rId3"/>
          <a:extLst>
            <a:ext uri="{FF2B5EF4-FFF2-40B4-BE49-F238E27FC236}">
              <a16:creationId xmlns:a16="http://schemas.microsoft.com/office/drawing/2014/main" id="{00000000-0008-0000-1100-000006000000}"/>
            </a:ext>
          </a:extLst>
        </xdr:cNvPr>
        <xdr:cNvPicPr>
          <a:picLocks noChangeAspect="1" noChangeArrowheads="1"/>
        </xdr:cNvPicPr>
      </xdr:nvPicPr>
      <xdr:blipFill>
        <a:blip xmlns:r="http://schemas.openxmlformats.org/officeDocument/2006/relationships" r:embed="rId4"/>
        <a:srcRect/>
        <a:stretch>
          <a:fillRect/>
        </a:stretch>
      </xdr:blipFill>
      <xdr:spPr>
        <a:xfrm>
          <a:off x="9381490" y="64770"/>
          <a:ext cx="1096010" cy="318770"/>
        </a:xfrm>
        <a:prstGeom prst="roundRect">
          <a:avLst>
            <a:gd name="adj" fmla="val 4167"/>
          </a:avLst>
        </a:prstGeom>
        <a:solidFill>
          <a:srgbClr val="FFFFFF"/>
        </a:solidFill>
        <a:ln w="76200" cap="sq">
          <a:solidFill>
            <a:srgbClr val="292929"/>
          </a:solidFill>
          <a:miter lim="800000"/>
          <a:headEnd/>
          <a:tailEnd/>
        </a:ln>
        <a:effectLst>
          <a:reflection blurRad="12700" stA="28000" endPos="28000" dist="5000" dir="5400000" sy="-100000" algn="bl" rotWithShape="0"/>
        </a:effectLst>
        <a:scene3d>
          <a:camera prst="orthographicFront"/>
          <a:lightRig rig="threePt" dir="t">
            <a:rot lat="0" lon="0" rev="2700000"/>
          </a:lightRig>
        </a:scene3d>
        <a:sp3d>
          <a:bevelT h="38100"/>
          <a:contourClr>
            <a:srgbClr val="C0C0C0"/>
          </a:contourClr>
        </a:sp3d>
      </xdr:spPr>
    </xdr:pic>
    <xdr:clientData fPrintsWithSheet="0"/>
  </xdr:twoCellAnchor>
</xdr:wsDr>
</file>

<file path=xl/drawings/drawing19.xml><?xml version="1.0" encoding="utf-8"?>
<xdr:wsDr xmlns:xdr="http://schemas.openxmlformats.org/drawingml/2006/spreadsheetDrawing" xmlns:a="http://schemas.openxmlformats.org/drawingml/2006/main">
  <xdr:twoCellAnchor editAs="oneCell">
    <xdr:from>
      <xdr:col>9</xdr:col>
      <xdr:colOff>728620</xdr:colOff>
      <xdr:row>1</xdr:row>
      <xdr:rowOff>1</xdr:rowOff>
    </xdr:from>
    <xdr:to>
      <xdr:col>11</xdr:col>
      <xdr:colOff>39688</xdr:colOff>
      <xdr:row>3</xdr:row>
      <xdr:rowOff>45721</xdr:rowOff>
    </xdr:to>
    <xdr:pic>
      <xdr:nvPicPr>
        <xdr:cNvPr id="2" name="Picture 24" descr="Prudent emPower logo txt">
          <a:extLst>
            <a:ext uri="{FF2B5EF4-FFF2-40B4-BE49-F238E27FC236}">
              <a16:creationId xmlns:a16="http://schemas.microsoft.com/office/drawing/2014/main" id="{00000000-0008-0000-12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6908165" y="182880"/>
          <a:ext cx="1040765"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9</xdr:col>
      <xdr:colOff>31096</xdr:colOff>
      <xdr:row>0</xdr:row>
      <xdr:rowOff>153162</xdr:rowOff>
    </xdr:from>
    <xdr:to>
      <xdr:col>9</xdr:col>
      <xdr:colOff>605790</xdr:colOff>
      <xdr:row>3</xdr:row>
      <xdr:rowOff>41290</xdr:rowOff>
    </xdr:to>
    <xdr:pic>
      <xdr:nvPicPr>
        <xdr:cNvPr id="4" name="Picture 3">
          <a:hlinkClick xmlns:r="http://schemas.openxmlformats.org/officeDocument/2006/relationships" r:id="rId2"/>
          <a:extLst>
            <a:ext uri="{FF2B5EF4-FFF2-40B4-BE49-F238E27FC236}">
              <a16:creationId xmlns:a16="http://schemas.microsoft.com/office/drawing/2014/main" id="{00000000-0008-0000-12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210300" y="153035"/>
          <a:ext cx="575310" cy="436880"/>
        </a:xfrm>
        <a:prstGeom prst="rect">
          <a:avLst/>
        </a:prstGeom>
      </xdr:spPr>
    </xdr:pic>
    <xdr:clientData fPrintsWithSheet="0"/>
  </xdr:twoCellAnchor>
</xdr:wsDr>
</file>

<file path=xl/drawings/drawing2.xml><?xml version="1.0" encoding="utf-8"?>
<xdr:wsDr xmlns:xdr="http://schemas.openxmlformats.org/drawingml/2006/spreadsheetDrawing" xmlns:a="http://schemas.openxmlformats.org/drawingml/2006/main">
  <xdr:twoCellAnchor>
    <xdr:from>
      <xdr:col>8</xdr:col>
      <xdr:colOff>95250</xdr:colOff>
      <xdr:row>1</xdr:row>
      <xdr:rowOff>66675</xdr:rowOff>
    </xdr:from>
    <xdr:to>
      <xdr:col>13</xdr:col>
      <xdr:colOff>304800</xdr:colOff>
      <xdr:row>20</xdr:row>
      <xdr:rowOff>9525</xdr:rowOff>
    </xdr:to>
    <xdr:graphicFrame macro="">
      <xdr:nvGraphicFramePr>
        <xdr:cNvPr id="2" name="Chart 1">
          <a:extLst>
            <a:ext uri="{FF2B5EF4-FFF2-40B4-BE49-F238E27FC236}">
              <a16:creationId xmlns:a16="http://schemas.microsoft.com/office/drawing/2014/main" id="{00000000-0008-0000-01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14</xdr:col>
      <xdr:colOff>123825</xdr:colOff>
      <xdr:row>4</xdr:row>
      <xdr:rowOff>155575</xdr:rowOff>
    </xdr:from>
    <xdr:to>
      <xdr:col>16</xdr:col>
      <xdr:colOff>495300</xdr:colOff>
      <xdr:row>6</xdr:row>
      <xdr:rowOff>110490</xdr:rowOff>
    </xdr:to>
    <xdr:pic>
      <xdr:nvPicPr>
        <xdr:cNvPr id="5" name="Picture 4">
          <a:hlinkClick xmlns:r="http://schemas.openxmlformats.org/officeDocument/2006/relationships" r:id="rId2"/>
          <a:extLst>
            <a:ext uri="{FF2B5EF4-FFF2-40B4-BE49-F238E27FC236}">
              <a16:creationId xmlns:a16="http://schemas.microsoft.com/office/drawing/2014/main" id="{00000000-0008-0000-0100-000005000000}"/>
            </a:ext>
          </a:extLst>
        </xdr:cNvPr>
        <xdr:cNvPicPr>
          <a:picLocks noChangeAspect="1" noChangeArrowheads="1"/>
        </xdr:cNvPicPr>
      </xdr:nvPicPr>
      <xdr:blipFill>
        <a:blip xmlns:r="http://schemas.openxmlformats.org/officeDocument/2006/relationships" r:embed="rId3"/>
        <a:srcRect/>
        <a:stretch>
          <a:fillRect/>
        </a:stretch>
      </xdr:blipFill>
      <xdr:spPr>
        <a:xfrm>
          <a:off x="10357485" y="1258570"/>
          <a:ext cx="1636395" cy="461645"/>
        </a:xfrm>
        <a:prstGeom prst="roundRect">
          <a:avLst>
            <a:gd name="adj" fmla="val 4167"/>
          </a:avLst>
        </a:prstGeom>
        <a:solidFill>
          <a:srgbClr val="FFFFFF"/>
        </a:solidFill>
        <a:ln w="76200" cap="sq">
          <a:solidFill>
            <a:srgbClr val="292929"/>
          </a:solidFill>
          <a:miter lim="800000"/>
          <a:headEnd/>
          <a:tailEnd/>
        </a:ln>
        <a:effectLst>
          <a:reflection blurRad="12700" stA="28000" endPos="28000" dist="5000" dir="5400000" sy="-100000" algn="bl" rotWithShape="0"/>
        </a:effectLst>
        <a:scene3d>
          <a:camera prst="orthographicFront"/>
          <a:lightRig rig="threePt" dir="t">
            <a:rot lat="0" lon="0" rev="2700000"/>
          </a:lightRig>
        </a:scene3d>
        <a:sp3d>
          <a:bevelT h="38100"/>
          <a:contourClr>
            <a:srgbClr val="C0C0C0"/>
          </a:contourClr>
        </a:sp3d>
      </xdr:spPr>
    </xdr:pic>
    <xdr:clientData fPrintsWithSheet="0"/>
  </xdr:twoCellAnchor>
  <xdr:twoCellAnchor editAs="oneCell">
    <xdr:from>
      <xdr:col>13</xdr:col>
      <xdr:colOff>430212</xdr:colOff>
      <xdr:row>0</xdr:row>
      <xdr:rowOff>101600</xdr:rowOff>
    </xdr:from>
    <xdr:to>
      <xdr:col>16</xdr:col>
      <xdr:colOff>627380</xdr:colOff>
      <xdr:row>3</xdr:row>
      <xdr:rowOff>69532</xdr:rowOff>
    </xdr:to>
    <xdr:pic>
      <xdr:nvPicPr>
        <xdr:cNvPr id="4" name="Picture 24" descr="Prudent emPower logo txt">
          <a:extLst>
            <a:ext uri="{FF2B5EF4-FFF2-40B4-BE49-F238E27FC236}">
              <a16:creationId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a:xfrm>
          <a:off x="10213975" y="101600"/>
          <a:ext cx="1911985" cy="8172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wsDr>
</file>

<file path=xl/drawings/drawing20.xml><?xml version="1.0" encoding="utf-8"?>
<xdr:wsDr xmlns:xdr="http://schemas.openxmlformats.org/drawingml/2006/spreadsheetDrawing" xmlns:a="http://schemas.openxmlformats.org/drawingml/2006/main">
  <xdr:twoCellAnchor>
    <xdr:from>
      <xdr:col>4</xdr:col>
      <xdr:colOff>323850</xdr:colOff>
      <xdr:row>9</xdr:row>
      <xdr:rowOff>247650</xdr:rowOff>
    </xdr:from>
    <xdr:to>
      <xdr:col>7</xdr:col>
      <xdr:colOff>19050</xdr:colOff>
      <xdr:row>10</xdr:row>
      <xdr:rowOff>377825</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1300-000002000000}"/>
            </a:ext>
          </a:extLst>
        </xdr:cNvPr>
        <xdr:cNvSpPr/>
      </xdr:nvSpPr>
      <xdr:spPr>
        <a:xfrm>
          <a:off x="5337810" y="2861310"/>
          <a:ext cx="1478280" cy="511175"/>
        </a:xfrm>
        <a:prstGeom prst="roundRect">
          <a:avLst/>
        </a:prstGeom>
        <a:solidFill>
          <a:schemeClr val="tx2">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t>RESULT</a:t>
          </a:r>
        </a:p>
      </xdr:txBody>
    </xdr:sp>
    <xdr:clientData/>
  </xdr:twoCellAnchor>
  <xdr:twoCellAnchor editAs="oneCell">
    <xdr:from>
      <xdr:col>4</xdr:col>
      <xdr:colOff>114300</xdr:colOff>
      <xdr:row>0</xdr:row>
      <xdr:rowOff>0</xdr:rowOff>
    </xdr:from>
    <xdr:to>
      <xdr:col>13</xdr:col>
      <xdr:colOff>266700</xdr:colOff>
      <xdr:row>9</xdr:row>
      <xdr:rowOff>87523</xdr:rowOff>
    </xdr:to>
    <xdr:pic>
      <xdr:nvPicPr>
        <xdr:cNvPr id="3" name="Picture 2">
          <a:extLst>
            <a:ext uri="{FF2B5EF4-FFF2-40B4-BE49-F238E27FC236}">
              <a16:creationId xmlns:a16="http://schemas.microsoft.com/office/drawing/2014/main" id="{00000000-0008-0000-13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128260" y="0"/>
          <a:ext cx="5501640" cy="2700655"/>
        </a:xfrm>
        <a:prstGeom prst="rect">
          <a:avLst/>
        </a:prstGeom>
      </xdr:spPr>
    </xdr:pic>
    <xdr:clientData/>
  </xdr:twoCellAnchor>
  <xdr:twoCellAnchor editAs="oneCell">
    <xdr:from>
      <xdr:col>10</xdr:col>
      <xdr:colOff>361950</xdr:colOff>
      <xdr:row>9</xdr:row>
      <xdr:rowOff>266700</xdr:rowOff>
    </xdr:from>
    <xdr:to>
      <xdr:col>13</xdr:col>
      <xdr:colOff>187325</xdr:colOff>
      <xdr:row>10</xdr:row>
      <xdr:rowOff>358775</xdr:rowOff>
    </xdr:to>
    <xdr:pic>
      <xdr:nvPicPr>
        <xdr:cNvPr id="4" name="Picture 3">
          <a:hlinkClick xmlns:r="http://schemas.openxmlformats.org/officeDocument/2006/relationships" r:id="rId3"/>
          <a:extLst>
            <a:ext uri="{FF2B5EF4-FFF2-40B4-BE49-F238E27FC236}">
              <a16:creationId xmlns:a16="http://schemas.microsoft.com/office/drawing/2014/main" id="{00000000-0008-0000-1300-000004000000}"/>
            </a:ext>
          </a:extLst>
        </xdr:cNvPr>
        <xdr:cNvPicPr>
          <a:picLocks noChangeAspect="1" noChangeArrowheads="1"/>
        </xdr:cNvPicPr>
      </xdr:nvPicPr>
      <xdr:blipFill>
        <a:blip xmlns:r="http://schemas.openxmlformats.org/officeDocument/2006/relationships" r:embed="rId4"/>
        <a:srcRect/>
        <a:stretch>
          <a:fillRect/>
        </a:stretch>
      </xdr:blipFill>
      <xdr:spPr>
        <a:xfrm>
          <a:off x="8942070" y="2880360"/>
          <a:ext cx="1608455" cy="473075"/>
        </a:xfrm>
        <a:prstGeom prst="roundRect">
          <a:avLst>
            <a:gd name="adj" fmla="val 4167"/>
          </a:avLst>
        </a:prstGeom>
        <a:solidFill>
          <a:srgbClr val="FFFFFF"/>
        </a:solidFill>
        <a:ln w="76200" cap="sq">
          <a:solidFill>
            <a:srgbClr val="292929"/>
          </a:solidFill>
          <a:miter lim="800000"/>
          <a:headEnd/>
          <a:tailEnd/>
        </a:ln>
        <a:effectLst>
          <a:reflection blurRad="12700" stA="28000" endPos="28000" dist="5000" dir="5400000" sy="-100000" algn="bl" rotWithShape="0"/>
        </a:effectLst>
        <a:scene3d>
          <a:camera prst="orthographicFront"/>
          <a:lightRig rig="threePt" dir="t">
            <a:rot lat="0" lon="0" rev="2700000"/>
          </a:lightRig>
        </a:scene3d>
        <a:sp3d>
          <a:bevelT h="38100"/>
          <a:contourClr>
            <a:srgbClr val="C0C0C0"/>
          </a:contourClr>
        </a:sp3d>
      </xdr:spPr>
    </xdr:pic>
    <xdr:clientData fPrintsWithSheet="0"/>
  </xdr:twoCellAnchor>
</xdr:wsDr>
</file>

<file path=xl/drawings/drawing21.xml><?xml version="1.0" encoding="utf-8"?>
<xdr:wsDr xmlns:xdr="http://schemas.openxmlformats.org/drawingml/2006/spreadsheetDrawing" xmlns:a="http://schemas.openxmlformats.org/drawingml/2006/main">
  <xdr:twoCellAnchor>
    <xdr:from>
      <xdr:col>5</xdr:col>
      <xdr:colOff>301625</xdr:colOff>
      <xdr:row>8</xdr:row>
      <xdr:rowOff>222250</xdr:rowOff>
    </xdr:from>
    <xdr:to>
      <xdr:col>7</xdr:col>
      <xdr:colOff>606425</xdr:colOff>
      <xdr:row>9</xdr:row>
      <xdr:rowOff>352425</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1400-000002000000}"/>
            </a:ext>
          </a:extLst>
        </xdr:cNvPr>
        <xdr:cNvSpPr/>
      </xdr:nvSpPr>
      <xdr:spPr>
        <a:xfrm>
          <a:off x="5909945" y="2279650"/>
          <a:ext cx="1481455" cy="51117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t>RESULT</a:t>
          </a:r>
        </a:p>
      </xdr:txBody>
    </xdr:sp>
    <xdr:clientData/>
  </xdr:twoCellAnchor>
  <xdr:twoCellAnchor editAs="oneCell">
    <xdr:from>
      <xdr:col>0</xdr:col>
      <xdr:colOff>114300</xdr:colOff>
      <xdr:row>0</xdr:row>
      <xdr:rowOff>66675</xdr:rowOff>
    </xdr:from>
    <xdr:to>
      <xdr:col>3</xdr:col>
      <xdr:colOff>190500</xdr:colOff>
      <xdr:row>2</xdr:row>
      <xdr:rowOff>142875</xdr:rowOff>
    </xdr:to>
    <xdr:pic>
      <xdr:nvPicPr>
        <xdr:cNvPr id="3" name="Picture 2">
          <a:extLst>
            <a:ext uri="{FF2B5EF4-FFF2-40B4-BE49-F238E27FC236}">
              <a16:creationId xmlns:a16="http://schemas.microsoft.com/office/drawing/2014/main" id="{00000000-0008-0000-14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14300" y="66675"/>
          <a:ext cx="1859280" cy="44196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xdr:from>
      <xdr:col>5</xdr:col>
      <xdr:colOff>301625</xdr:colOff>
      <xdr:row>8</xdr:row>
      <xdr:rowOff>209550</xdr:rowOff>
    </xdr:from>
    <xdr:to>
      <xdr:col>7</xdr:col>
      <xdr:colOff>606425</xdr:colOff>
      <xdr:row>9</xdr:row>
      <xdr:rowOff>339725</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1500-000002000000}"/>
            </a:ext>
          </a:extLst>
        </xdr:cNvPr>
        <xdr:cNvSpPr/>
      </xdr:nvSpPr>
      <xdr:spPr>
        <a:xfrm>
          <a:off x="5909945" y="2266950"/>
          <a:ext cx="1481455" cy="51117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t>RESULT</a:t>
          </a:r>
        </a:p>
      </xdr:txBody>
    </xdr:sp>
    <xdr:clientData/>
  </xdr:twoCellAnchor>
  <xdr:twoCellAnchor editAs="oneCell">
    <xdr:from>
      <xdr:col>0</xdr:col>
      <xdr:colOff>114300</xdr:colOff>
      <xdr:row>0</xdr:row>
      <xdr:rowOff>66675</xdr:rowOff>
    </xdr:from>
    <xdr:to>
      <xdr:col>3</xdr:col>
      <xdr:colOff>190500</xdr:colOff>
      <xdr:row>2</xdr:row>
      <xdr:rowOff>142875</xdr:rowOff>
    </xdr:to>
    <xdr:pic>
      <xdr:nvPicPr>
        <xdr:cNvPr id="3" name="Picture 2">
          <a:extLst>
            <a:ext uri="{FF2B5EF4-FFF2-40B4-BE49-F238E27FC236}">
              <a16:creationId xmlns:a16="http://schemas.microsoft.com/office/drawing/2014/main" id="{00000000-0008-0000-15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14300" y="66675"/>
          <a:ext cx="1859280" cy="44196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xdr:from>
      <xdr:col>5</xdr:col>
      <xdr:colOff>38100</xdr:colOff>
      <xdr:row>36</xdr:row>
      <xdr:rowOff>19050</xdr:rowOff>
    </xdr:from>
    <xdr:to>
      <xdr:col>5</xdr:col>
      <xdr:colOff>571500</xdr:colOff>
      <xdr:row>36</xdr:row>
      <xdr:rowOff>19050</xdr:rowOff>
    </xdr:to>
    <xdr:cxnSp macro="">
      <xdr:nvCxnSpPr>
        <xdr:cNvPr id="2" name="Straight Arrow Connector 1">
          <a:extLst>
            <a:ext uri="{FF2B5EF4-FFF2-40B4-BE49-F238E27FC236}">
              <a16:creationId xmlns:a16="http://schemas.microsoft.com/office/drawing/2014/main" id="{00000000-0008-0000-1600-000002000000}"/>
            </a:ext>
          </a:extLst>
        </xdr:cNvPr>
        <xdr:cNvCxnSpPr/>
      </xdr:nvCxnSpPr>
      <xdr:spPr>
        <a:xfrm flipH="1">
          <a:off x="3474720" y="6856095"/>
          <a:ext cx="533400" cy="0"/>
        </a:xfrm>
        <a:prstGeom prst="straightConnector1">
          <a:avLst/>
        </a:prstGeom>
        <a:ln w="254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25400</xdr:colOff>
      <xdr:row>35</xdr:row>
      <xdr:rowOff>184150</xdr:rowOff>
    </xdr:from>
    <xdr:to>
      <xdr:col>14</xdr:col>
      <xdr:colOff>374650</xdr:colOff>
      <xdr:row>35</xdr:row>
      <xdr:rowOff>184150</xdr:rowOff>
    </xdr:to>
    <xdr:cxnSp macro="">
      <xdr:nvCxnSpPr>
        <xdr:cNvPr id="3" name="Straight Arrow Connector 2">
          <a:extLst>
            <a:ext uri="{FF2B5EF4-FFF2-40B4-BE49-F238E27FC236}">
              <a16:creationId xmlns:a16="http://schemas.microsoft.com/office/drawing/2014/main" id="{00000000-0008-0000-1600-000003000000}"/>
            </a:ext>
          </a:extLst>
        </xdr:cNvPr>
        <xdr:cNvCxnSpPr/>
      </xdr:nvCxnSpPr>
      <xdr:spPr>
        <a:xfrm flipH="1">
          <a:off x="10182860" y="6830695"/>
          <a:ext cx="349250" cy="0"/>
        </a:xfrm>
        <a:prstGeom prst="straightConnector1">
          <a:avLst/>
        </a:prstGeom>
        <a:ln w="254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38100</xdr:colOff>
      <xdr:row>38</xdr:row>
      <xdr:rowOff>19050</xdr:rowOff>
    </xdr:from>
    <xdr:to>
      <xdr:col>5</xdr:col>
      <xdr:colOff>571500</xdr:colOff>
      <xdr:row>38</xdr:row>
      <xdr:rowOff>19050</xdr:rowOff>
    </xdr:to>
    <xdr:cxnSp macro="">
      <xdr:nvCxnSpPr>
        <xdr:cNvPr id="4" name="Straight Arrow Connector 3">
          <a:extLst>
            <a:ext uri="{FF2B5EF4-FFF2-40B4-BE49-F238E27FC236}">
              <a16:creationId xmlns:a16="http://schemas.microsoft.com/office/drawing/2014/main" id="{00000000-0008-0000-1600-000004000000}"/>
            </a:ext>
          </a:extLst>
        </xdr:cNvPr>
        <xdr:cNvCxnSpPr/>
      </xdr:nvCxnSpPr>
      <xdr:spPr>
        <a:xfrm flipH="1">
          <a:off x="3474720" y="7240905"/>
          <a:ext cx="533400" cy="0"/>
        </a:xfrm>
        <a:prstGeom prst="straightConnector1">
          <a:avLst/>
        </a:prstGeom>
        <a:ln w="254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25400</xdr:colOff>
      <xdr:row>37</xdr:row>
      <xdr:rowOff>184150</xdr:rowOff>
    </xdr:from>
    <xdr:to>
      <xdr:col>14</xdr:col>
      <xdr:colOff>374650</xdr:colOff>
      <xdr:row>37</xdr:row>
      <xdr:rowOff>184150</xdr:rowOff>
    </xdr:to>
    <xdr:cxnSp macro="">
      <xdr:nvCxnSpPr>
        <xdr:cNvPr id="5" name="Straight Arrow Connector 4">
          <a:extLst>
            <a:ext uri="{FF2B5EF4-FFF2-40B4-BE49-F238E27FC236}">
              <a16:creationId xmlns:a16="http://schemas.microsoft.com/office/drawing/2014/main" id="{00000000-0008-0000-1600-000005000000}"/>
            </a:ext>
          </a:extLst>
        </xdr:cNvPr>
        <xdr:cNvCxnSpPr/>
      </xdr:nvCxnSpPr>
      <xdr:spPr>
        <a:xfrm flipH="1">
          <a:off x="10182860" y="7221220"/>
          <a:ext cx="349250" cy="0"/>
        </a:xfrm>
        <a:prstGeom prst="straightConnector1">
          <a:avLst/>
        </a:prstGeom>
        <a:ln w="254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25400</xdr:colOff>
      <xdr:row>37</xdr:row>
      <xdr:rowOff>184150</xdr:rowOff>
    </xdr:from>
    <xdr:to>
      <xdr:col>14</xdr:col>
      <xdr:colOff>374650</xdr:colOff>
      <xdr:row>37</xdr:row>
      <xdr:rowOff>184150</xdr:rowOff>
    </xdr:to>
    <xdr:cxnSp macro="">
      <xdr:nvCxnSpPr>
        <xdr:cNvPr id="6" name="Straight Arrow Connector 5">
          <a:extLst>
            <a:ext uri="{FF2B5EF4-FFF2-40B4-BE49-F238E27FC236}">
              <a16:creationId xmlns:a16="http://schemas.microsoft.com/office/drawing/2014/main" id="{00000000-0008-0000-1600-000006000000}"/>
            </a:ext>
          </a:extLst>
        </xdr:cNvPr>
        <xdr:cNvCxnSpPr/>
      </xdr:nvCxnSpPr>
      <xdr:spPr>
        <a:xfrm flipH="1">
          <a:off x="10182860" y="7221220"/>
          <a:ext cx="349250" cy="0"/>
        </a:xfrm>
        <a:prstGeom prst="straightConnector1">
          <a:avLst/>
        </a:prstGeom>
        <a:ln w="254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3</xdr:col>
      <xdr:colOff>15875</xdr:colOff>
      <xdr:row>18</xdr:row>
      <xdr:rowOff>157480</xdr:rowOff>
    </xdr:from>
    <xdr:to>
      <xdr:col>5</xdr:col>
      <xdr:colOff>673924</xdr:colOff>
      <xdr:row>22</xdr:row>
      <xdr:rowOff>101663</xdr:rowOff>
    </xdr:to>
    <xdr:pic>
      <xdr:nvPicPr>
        <xdr:cNvPr id="7" name="Picture 6">
          <a:hlinkClick xmlns:r="http://schemas.openxmlformats.org/officeDocument/2006/relationships" r:id="rId1"/>
          <a:extLst>
            <a:ext uri="{FF2B5EF4-FFF2-40B4-BE49-F238E27FC236}">
              <a16:creationId xmlns:a16="http://schemas.microsoft.com/office/drawing/2014/main" id="{00000000-0008-0000-1600-000007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126615" y="3449320"/>
          <a:ext cx="1983740" cy="675640"/>
        </a:xfrm>
        <a:prstGeom prst="rect">
          <a:avLst/>
        </a:prstGeom>
      </xdr:spPr>
    </xdr:pic>
    <xdr:clientData fPrintsWithSheet="0"/>
  </xdr:twoCellAnchor>
  <xdr:twoCellAnchor editAs="oneCell">
    <xdr:from>
      <xdr:col>6</xdr:col>
      <xdr:colOff>208915</xdr:colOff>
      <xdr:row>19</xdr:row>
      <xdr:rowOff>31750</xdr:rowOff>
    </xdr:from>
    <xdr:to>
      <xdr:col>7</xdr:col>
      <xdr:colOff>285424</xdr:colOff>
      <xdr:row>22</xdr:row>
      <xdr:rowOff>46038</xdr:rowOff>
    </xdr:to>
    <xdr:pic>
      <xdr:nvPicPr>
        <xdr:cNvPr id="8" name="Picture 7">
          <a:hlinkClick xmlns:r="http://schemas.openxmlformats.org/officeDocument/2006/relationships" r:id="rId3"/>
          <a:extLst>
            <a:ext uri="{FF2B5EF4-FFF2-40B4-BE49-F238E27FC236}">
              <a16:creationId xmlns:a16="http://schemas.microsoft.com/office/drawing/2014/main" id="{00000000-0008-0000-1600-000008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369435" y="3506470"/>
          <a:ext cx="800100" cy="562610"/>
        </a:xfrm>
        <a:prstGeom prst="rect">
          <a:avLst/>
        </a:prstGeom>
      </xdr:spPr>
    </xdr:pic>
    <xdr:clientData fPrintsWithSheet="0"/>
  </xdr:twoCellAnchor>
</xdr:wsDr>
</file>

<file path=xl/drawings/drawing24.xml><?xml version="1.0" encoding="utf-8"?>
<xdr:wsDr xmlns:xdr="http://schemas.openxmlformats.org/drawingml/2006/spreadsheetDrawing" xmlns:a="http://schemas.openxmlformats.org/drawingml/2006/main">
  <xdr:twoCellAnchor>
    <xdr:from>
      <xdr:col>5</xdr:col>
      <xdr:colOff>6350</xdr:colOff>
      <xdr:row>2</xdr:row>
      <xdr:rowOff>88900</xdr:rowOff>
    </xdr:from>
    <xdr:to>
      <xdr:col>11</xdr:col>
      <xdr:colOff>593272</xdr:colOff>
      <xdr:row>13</xdr:row>
      <xdr:rowOff>145143</xdr:rowOff>
    </xdr:to>
    <xdr:graphicFrame macro="">
      <xdr:nvGraphicFramePr>
        <xdr:cNvPr id="2" name="Chart 1">
          <a:extLst>
            <a:ext uri="{FF2B5EF4-FFF2-40B4-BE49-F238E27FC236}">
              <a16:creationId xmlns:a16="http://schemas.microsoft.com/office/drawing/2014/main" id="{00000000-0008-0000-17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6</xdr:col>
      <xdr:colOff>406401</xdr:colOff>
      <xdr:row>0</xdr:row>
      <xdr:rowOff>114301</xdr:rowOff>
    </xdr:from>
    <xdr:to>
      <xdr:col>7</xdr:col>
      <xdr:colOff>469901</xdr:colOff>
      <xdr:row>2</xdr:row>
      <xdr:rowOff>70603</xdr:rowOff>
    </xdr:to>
    <xdr:pic>
      <xdr:nvPicPr>
        <xdr:cNvPr id="3" name="Picture 2">
          <a:hlinkClick xmlns:r="http://schemas.openxmlformats.org/officeDocument/2006/relationships" r:id="rId2"/>
          <a:extLst>
            <a:ext uri="{FF2B5EF4-FFF2-40B4-BE49-F238E27FC236}">
              <a16:creationId xmlns:a16="http://schemas.microsoft.com/office/drawing/2014/main" id="{00000000-0008-0000-1700-000003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275580" y="114300"/>
          <a:ext cx="657860" cy="466725"/>
        </a:xfrm>
        <a:prstGeom prst="rect">
          <a:avLst/>
        </a:prstGeom>
      </xdr:spPr>
    </xdr:pic>
    <xdr:clientData fPrintsWithSheet="0"/>
  </xdr:twoCellAnchor>
  <xdr:twoCellAnchor editAs="oneCell">
    <xdr:from>
      <xdr:col>8</xdr:col>
      <xdr:colOff>158751</xdr:colOff>
      <xdr:row>0</xdr:row>
      <xdr:rowOff>57151</xdr:rowOff>
    </xdr:from>
    <xdr:to>
      <xdr:col>10</xdr:col>
      <xdr:colOff>260351</xdr:colOff>
      <xdr:row>1</xdr:row>
      <xdr:rowOff>180885</xdr:rowOff>
    </xdr:to>
    <xdr:pic>
      <xdr:nvPicPr>
        <xdr:cNvPr id="5" name="Picture 4">
          <a:hlinkClick xmlns:r="http://schemas.openxmlformats.org/officeDocument/2006/relationships" r:id="rId4"/>
          <a:extLst>
            <a:ext uri="{FF2B5EF4-FFF2-40B4-BE49-F238E27FC236}">
              <a16:creationId xmlns:a16="http://schemas.microsoft.com/office/drawing/2014/main" id="{00000000-0008-0000-1700-000005000000}"/>
            </a:ext>
          </a:extLst>
        </xdr:cNvPr>
        <xdr:cNvPicPr>
          <a:picLocks noChangeAspect="1" noChangeArrowheads="1"/>
        </xdr:cNvPicPr>
      </xdr:nvPicPr>
      <xdr:blipFill>
        <a:blip xmlns:r="http://schemas.openxmlformats.org/officeDocument/2006/relationships" r:embed="rId5"/>
        <a:srcRect/>
        <a:stretch>
          <a:fillRect/>
        </a:stretch>
      </xdr:blipFill>
      <xdr:spPr>
        <a:xfrm>
          <a:off x="6216650" y="57150"/>
          <a:ext cx="1290320" cy="378460"/>
        </a:xfrm>
        <a:prstGeom prst="roundRect">
          <a:avLst>
            <a:gd name="adj" fmla="val 4167"/>
          </a:avLst>
        </a:prstGeom>
        <a:solidFill>
          <a:srgbClr val="FFFFFF"/>
        </a:solidFill>
        <a:ln w="76200" cap="sq">
          <a:solidFill>
            <a:srgbClr val="292929"/>
          </a:solidFill>
          <a:miter lim="800000"/>
          <a:headEnd/>
          <a:tailEnd/>
        </a:ln>
        <a:effectLst>
          <a:reflection blurRad="12700" stA="28000" endPos="28000" dist="5000" dir="5400000" sy="-100000" algn="bl" rotWithShape="0"/>
        </a:effectLst>
        <a:scene3d>
          <a:camera prst="orthographicFront"/>
          <a:lightRig rig="threePt" dir="t">
            <a:rot lat="0" lon="0" rev="2700000"/>
          </a:lightRig>
        </a:scene3d>
        <a:sp3d>
          <a:bevelT h="38100"/>
          <a:contourClr>
            <a:srgbClr val="C0C0C0"/>
          </a:contourClr>
        </a:sp3d>
      </xdr:spPr>
    </xdr:pic>
    <xdr:clientData fPrintsWithSheet="0"/>
  </xdr:twoCellAnchor>
</xdr:wsDr>
</file>

<file path=xl/drawings/drawing25.xml><?xml version="1.0" encoding="utf-8"?>
<xdr:wsDr xmlns:xdr="http://schemas.openxmlformats.org/drawingml/2006/spreadsheetDrawing" xmlns:a="http://schemas.openxmlformats.org/drawingml/2006/main">
  <xdr:twoCellAnchor editAs="oneCell">
    <xdr:from>
      <xdr:col>4</xdr:col>
      <xdr:colOff>243841</xdr:colOff>
      <xdr:row>11</xdr:row>
      <xdr:rowOff>91440</xdr:rowOff>
    </xdr:from>
    <xdr:to>
      <xdr:col>4</xdr:col>
      <xdr:colOff>1238251</xdr:colOff>
      <xdr:row>12</xdr:row>
      <xdr:rowOff>249109</xdr:rowOff>
    </xdr:to>
    <xdr:pic>
      <xdr:nvPicPr>
        <xdr:cNvPr id="2" name="Picture 1">
          <a:extLst>
            <a:ext uri="{FF2B5EF4-FFF2-40B4-BE49-F238E27FC236}">
              <a16:creationId xmlns:a16="http://schemas.microsoft.com/office/drawing/2014/main" id="{00000000-0008-0000-18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143500" y="3187065"/>
          <a:ext cx="994410" cy="412750"/>
        </a:xfrm>
        <a:prstGeom prst="rect">
          <a:avLst/>
        </a:prstGeom>
      </xdr:spPr>
    </xdr:pic>
    <xdr:clientData fPrintsWithSheet="0"/>
  </xdr:twoCellAnchor>
  <xdr:twoCellAnchor editAs="oneCell">
    <xdr:from>
      <xdr:col>12</xdr:col>
      <xdr:colOff>68580</xdr:colOff>
      <xdr:row>2</xdr:row>
      <xdr:rowOff>60960</xdr:rowOff>
    </xdr:from>
    <xdr:to>
      <xdr:col>13</xdr:col>
      <xdr:colOff>562610</xdr:colOff>
      <xdr:row>3</xdr:row>
      <xdr:rowOff>40966</xdr:rowOff>
    </xdr:to>
    <xdr:pic>
      <xdr:nvPicPr>
        <xdr:cNvPr id="3" name="Picture 2">
          <a:hlinkClick xmlns:r="http://schemas.openxmlformats.org/officeDocument/2006/relationships" r:id="rId2"/>
          <a:extLst>
            <a:ext uri="{FF2B5EF4-FFF2-40B4-BE49-F238E27FC236}">
              <a16:creationId xmlns:a16="http://schemas.microsoft.com/office/drawing/2014/main" id="{00000000-0008-0000-1800-000003000000}"/>
            </a:ext>
          </a:extLst>
        </xdr:cNvPr>
        <xdr:cNvPicPr>
          <a:picLocks noChangeAspect="1" noChangeArrowheads="1"/>
        </xdr:cNvPicPr>
      </xdr:nvPicPr>
      <xdr:blipFill>
        <a:blip xmlns:r="http://schemas.openxmlformats.org/officeDocument/2006/relationships" r:embed="rId3"/>
        <a:srcRect/>
        <a:stretch>
          <a:fillRect/>
        </a:stretch>
      </xdr:blipFill>
      <xdr:spPr>
        <a:xfrm>
          <a:off x="10477500" y="472440"/>
          <a:ext cx="1103630" cy="318770"/>
        </a:xfrm>
        <a:prstGeom prst="roundRect">
          <a:avLst>
            <a:gd name="adj" fmla="val 4167"/>
          </a:avLst>
        </a:prstGeom>
        <a:solidFill>
          <a:srgbClr val="FFFFFF"/>
        </a:solidFill>
        <a:ln w="76200" cap="sq">
          <a:solidFill>
            <a:srgbClr val="292929"/>
          </a:solidFill>
          <a:miter lim="800000"/>
          <a:headEnd/>
          <a:tailEnd/>
        </a:ln>
        <a:effectLst>
          <a:reflection blurRad="12700" stA="28000" endPos="28000" dist="5000" dir="5400000" sy="-100000" algn="bl" rotWithShape="0"/>
        </a:effectLst>
        <a:scene3d>
          <a:camera prst="orthographicFront"/>
          <a:lightRig rig="threePt" dir="t">
            <a:rot lat="0" lon="0" rev="2700000"/>
          </a:lightRig>
        </a:scene3d>
        <a:sp3d>
          <a:bevelT h="38100"/>
          <a:contourClr>
            <a:srgbClr val="C0C0C0"/>
          </a:contourClr>
        </a:sp3d>
      </xdr:spPr>
    </xdr:pic>
    <xdr:clientData fPrintsWithSheet="0"/>
  </xdr:twoCellAnchor>
</xdr:wsDr>
</file>

<file path=xl/drawings/drawing26.xml><?xml version="1.0" encoding="utf-8"?>
<xdr:wsDr xmlns:xdr="http://schemas.openxmlformats.org/drawingml/2006/spreadsheetDrawing" xmlns:a="http://schemas.openxmlformats.org/drawingml/2006/main">
  <xdr:twoCellAnchor editAs="oneCell">
    <xdr:from>
      <xdr:col>2</xdr:col>
      <xdr:colOff>640080</xdr:colOff>
      <xdr:row>12</xdr:row>
      <xdr:rowOff>45719</xdr:rowOff>
    </xdr:from>
    <xdr:to>
      <xdr:col>4</xdr:col>
      <xdr:colOff>750570</xdr:colOff>
      <xdr:row>13</xdr:row>
      <xdr:rowOff>196559</xdr:rowOff>
    </xdr:to>
    <xdr:pic>
      <xdr:nvPicPr>
        <xdr:cNvPr id="2" name="Picture 24" descr="Prudent emPower logo txt">
          <a:extLst>
            <a:ext uri="{FF2B5EF4-FFF2-40B4-BE49-F238E27FC236}">
              <a16:creationId xmlns:a16="http://schemas.microsoft.com/office/drawing/2014/main" id="{00000000-0008-0000-19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2377440" y="2818765"/>
          <a:ext cx="1101090" cy="4692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6</xdr:col>
      <xdr:colOff>209124</xdr:colOff>
      <xdr:row>2</xdr:row>
      <xdr:rowOff>240031</xdr:rowOff>
    </xdr:from>
    <xdr:to>
      <xdr:col>6</xdr:col>
      <xdr:colOff>209124</xdr:colOff>
      <xdr:row>4</xdr:row>
      <xdr:rowOff>240031</xdr:rowOff>
    </xdr:to>
    <xdr:cxnSp macro="">
      <xdr:nvCxnSpPr>
        <xdr:cNvPr id="3" name="Straight Arrow Connector 2">
          <a:extLst>
            <a:ext uri="{FF2B5EF4-FFF2-40B4-BE49-F238E27FC236}">
              <a16:creationId xmlns:a16="http://schemas.microsoft.com/office/drawing/2014/main" id="{00000000-0008-0000-1900-000003000000}"/>
            </a:ext>
          </a:extLst>
        </xdr:cNvPr>
        <xdr:cNvCxnSpPr/>
      </xdr:nvCxnSpPr>
      <xdr:spPr>
        <a:xfrm>
          <a:off x="4194175" y="786765"/>
          <a:ext cx="0" cy="636270"/>
        </a:xfrm>
        <a:prstGeom prst="straightConnector1">
          <a:avLst/>
        </a:prstGeom>
        <a:solidFill>
          <a:srgbClr val="FFFFFF"/>
        </a:solidFill>
        <a:ln w="38100" cap="flat" cmpd="sng" algn="ctr">
          <a:solidFill>
            <a:schemeClr val="bg1"/>
          </a:solidFill>
          <a:prstDash val="solid"/>
          <a:round/>
          <a:headEnd type="none" w="med" len="med"/>
          <a:tailEnd type="triangle"/>
        </a:ln>
        <a:effectLst/>
      </xdr:spPr>
    </xdr:cxnSp>
    <xdr:clientData/>
  </xdr:twoCellAnchor>
  <xdr:twoCellAnchor>
    <xdr:from>
      <xdr:col>6</xdr:col>
      <xdr:colOff>209124</xdr:colOff>
      <xdr:row>2</xdr:row>
      <xdr:rowOff>198121</xdr:rowOff>
    </xdr:from>
    <xdr:to>
      <xdr:col>7</xdr:col>
      <xdr:colOff>472014</xdr:colOff>
      <xdr:row>2</xdr:row>
      <xdr:rowOff>198121</xdr:rowOff>
    </xdr:to>
    <xdr:cxnSp macro="">
      <xdr:nvCxnSpPr>
        <xdr:cNvPr id="4" name="Straight Arrow Connector 3">
          <a:extLst>
            <a:ext uri="{FF2B5EF4-FFF2-40B4-BE49-F238E27FC236}">
              <a16:creationId xmlns:a16="http://schemas.microsoft.com/office/drawing/2014/main" id="{00000000-0008-0000-1900-000004000000}"/>
            </a:ext>
          </a:extLst>
        </xdr:cNvPr>
        <xdr:cNvCxnSpPr/>
      </xdr:nvCxnSpPr>
      <xdr:spPr>
        <a:xfrm>
          <a:off x="4194175" y="744855"/>
          <a:ext cx="613410" cy="0"/>
        </a:xfrm>
        <a:prstGeom prst="straightConnector1">
          <a:avLst/>
        </a:prstGeom>
        <a:solidFill>
          <a:srgbClr val="FFFFFF"/>
        </a:solidFill>
        <a:ln w="38100" cap="flat" cmpd="sng" algn="ctr">
          <a:solidFill>
            <a:schemeClr val="bg1"/>
          </a:solidFill>
          <a:prstDash val="solid"/>
          <a:round/>
          <a:headEnd type="none" w="med" len="med"/>
          <a:tailEnd type="triangle"/>
        </a:ln>
        <a:effectLst/>
      </xdr:spPr>
    </xdr:cxnSp>
    <xdr:clientData/>
  </xdr:twoCellAnchor>
  <xdr:twoCellAnchor>
    <xdr:from>
      <xdr:col>6</xdr:col>
      <xdr:colOff>266274</xdr:colOff>
      <xdr:row>2</xdr:row>
      <xdr:rowOff>255271</xdr:rowOff>
    </xdr:from>
    <xdr:to>
      <xdr:col>7</xdr:col>
      <xdr:colOff>437724</xdr:colOff>
      <xdr:row>4</xdr:row>
      <xdr:rowOff>247651</xdr:rowOff>
    </xdr:to>
    <xdr:cxnSp macro="">
      <xdr:nvCxnSpPr>
        <xdr:cNvPr id="5" name="Straight Arrow Connector 4">
          <a:extLst>
            <a:ext uri="{FF2B5EF4-FFF2-40B4-BE49-F238E27FC236}">
              <a16:creationId xmlns:a16="http://schemas.microsoft.com/office/drawing/2014/main" id="{00000000-0008-0000-1900-000005000000}"/>
            </a:ext>
          </a:extLst>
        </xdr:cNvPr>
        <xdr:cNvCxnSpPr/>
      </xdr:nvCxnSpPr>
      <xdr:spPr>
        <a:xfrm>
          <a:off x="4251325" y="802005"/>
          <a:ext cx="521970" cy="628650"/>
        </a:xfrm>
        <a:prstGeom prst="straightConnector1">
          <a:avLst/>
        </a:prstGeom>
        <a:solidFill>
          <a:srgbClr val="FFFFFF"/>
        </a:solidFill>
        <a:ln w="38100" cap="flat" cmpd="sng" algn="ctr">
          <a:solidFill>
            <a:schemeClr val="bg1"/>
          </a:solidFill>
          <a:prstDash val="solid"/>
          <a:round/>
          <a:headEnd type="none" w="med" len="med"/>
          <a:tailEnd type="triangle"/>
        </a:ln>
        <a:effectLst/>
      </xdr:spPr>
    </xdr:cxnSp>
    <xdr:clientData/>
  </xdr:twoCellAnchor>
  <xdr:twoCellAnchor editAs="oneCell">
    <xdr:from>
      <xdr:col>4</xdr:col>
      <xdr:colOff>60960</xdr:colOff>
      <xdr:row>2</xdr:row>
      <xdr:rowOff>83820</xdr:rowOff>
    </xdr:from>
    <xdr:to>
      <xdr:col>4</xdr:col>
      <xdr:colOff>720090</xdr:colOff>
      <xdr:row>4</xdr:row>
      <xdr:rowOff>113030</xdr:rowOff>
    </xdr:to>
    <xdr:pic>
      <xdr:nvPicPr>
        <xdr:cNvPr id="6" name="Graphic 5" descr="Pie chart">
          <a:extLst>
            <a:ext uri="{FF2B5EF4-FFF2-40B4-BE49-F238E27FC236}">
              <a16:creationId xmlns:a16="http://schemas.microsoft.com/office/drawing/2014/main" id="{00000000-0008-0000-19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2788920" y="630555"/>
          <a:ext cx="659130" cy="665480"/>
        </a:xfrm>
        <a:prstGeom prst="rect">
          <a:avLst/>
        </a:prstGeom>
      </xdr:spPr>
    </xdr:pic>
    <xdr:clientData/>
  </xdr:twoCellAnchor>
  <xdr:twoCellAnchor editAs="oneCell">
    <xdr:from>
      <xdr:col>1</xdr:col>
      <xdr:colOff>19050</xdr:colOff>
      <xdr:row>12</xdr:row>
      <xdr:rowOff>76200</xdr:rowOff>
    </xdr:from>
    <xdr:to>
      <xdr:col>1</xdr:col>
      <xdr:colOff>1122680</xdr:colOff>
      <xdr:row>13</xdr:row>
      <xdr:rowOff>75679</xdr:rowOff>
    </xdr:to>
    <xdr:pic>
      <xdr:nvPicPr>
        <xdr:cNvPr id="7" name="Picture 6">
          <a:hlinkClick xmlns:r="http://schemas.openxmlformats.org/officeDocument/2006/relationships" r:id="rId4"/>
          <a:extLst>
            <a:ext uri="{FF2B5EF4-FFF2-40B4-BE49-F238E27FC236}">
              <a16:creationId xmlns:a16="http://schemas.microsoft.com/office/drawing/2014/main" id="{00000000-0008-0000-1900-000007000000}"/>
            </a:ext>
          </a:extLst>
        </xdr:cNvPr>
        <xdr:cNvPicPr>
          <a:picLocks noChangeAspect="1" noChangeArrowheads="1"/>
        </xdr:cNvPicPr>
      </xdr:nvPicPr>
      <xdr:blipFill>
        <a:blip xmlns:r="http://schemas.openxmlformats.org/officeDocument/2006/relationships" r:embed="rId5"/>
        <a:srcRect/>
        <a:stretch>
          <a:fillRect/>
        </a:stretch>
      </xdr:blipFill>
      <xdr:spPr>
        <a:xfrm>
          <a:off x="308610" y="2849880"/>
          <a:ext cx="1103630" cy="317500"/>
        </a:xfrm>
        <a:prstGeom prst="roundRect">
          <a:avLst>
            <a:gd name="adj" fmla="val 4167"/>
          </a:avLst>
        </a:prstGeom>
        <a:solidFill>
          <a:srgbClr val="FFFFFF"/>
        </a:solidFill>
        <a:ln w="76200" cap="sq">
          <a:solidFill>
            <a:srgbClr val="292929"/>
          </a:solidFill>
          <a:miter lim="800000"/>
          <a:headEnd/>
          <a:tailEnd/>
        </a:ln>
        <a:effectLst>
          <a:reflection blurRad="12700" stA="28000" endPos="28000" dist="5000" dir="5400000" sy="-100000" algn="bl" rotWithShape="0"/>
        </a:effectLst>
        <a:scene3d>
          <a:camera prst="orthographicFront"/>
          <a:lightRig rig="threePt" dir="t">
            <a:rot lat="0" lon="0" rev="2700000"/>
          </a:lightRig>
        </a:scene3d>
        <a:sp3d>
          <a:bevelT h="38100"/>
          <a:contourClr>
            <a:srgbClr val="C0C0C0"/>
          </a:contourClr>
        </a:sp3d>
      </xdr:spPr>
    </xdr:pic>
    <xdr:clientData fPrintsWithSheet="0"/>
  </xdr:twoCellAnchor>
</xdr:wsDr>
</file>

<file path=xl/drawings/drawing27.xml><?xml version="1.0" encoding="utf-8"?>
<xdr:wsDr xmlns:xdr="http://schemas.openxmlformats.org/drawingml/2006/spreadsheetDrawing" xmlns:a="http://schemas.openxmlformats.org/drawingml/2006/main">
  <xdr:twoCellAnchor editAs="oneCell">
    <xdr:from>
      <xdr:col>12</xdr:col>
      <xdr:colOff>186690</xdr:colOff>
      <xdr:row>5</xdr:row>
      <xdr:rowOff>83820</xdr:rowOff>
    </xdr:from>
    <xdr:to>
      <xdr:col>13</xdr:col>
      <xdr:colOff>411480</xdr:colOff>
      <xdr:row>6</xdr:row>
      <xdr:rowOff>295620</xdr:rowOff>
    </xdr:to>
    <xdr:pic>
      <xdr:nvPicPr>
        <xdr:cNvPr id="2" name="Picture 24" descr="Prudent emPower logo txt">
          <a:extLst>
            <a:ext uri="{FF2B5EF4-FFF2-40B4-BE49-F238E27FC236}">
              <a16:creationId xmlns:a16="http://schemas.microsoft.com/office/drawing/2014/main" id="{00000000-0008-0000-1A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9848850" y="1141095"/>
          <a:ext cx="1101090" cy="4648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12</xdr:col>
      <xdr:colOff>213360</xdr:colOff>
      <xdr:row>1</xdr:row>
      <xdr:rowOff>144781</xdr:rowOff>
    </xdr:from>
    <xdr:to>
      <xdr:col>13</xdr:col>
      <xdr:colOff>440690</xdr:colOff>
      <xdr:row>3</xdr:row>
      <xdr:rowOff>159500</xdr:rowOff>
    </xdr:to>
    <xdr:pic>
      <xdr:nvPicPr>
        <xdr:cNvPr id="3" name="Picture 2">
          <a:hlinkClick xmlns:r="http://schemas.openxmlformats.org/officeDocument/2006/relationships" r:id="rId2"/>
          <a:extLst>
            <a:ext uri="{FF2B5EF4-FFF2-40B4-BE49-F238E27FC236}">
              <a16:creationId xmlns:a16="http://schemas.microsoft.com/office/drawing/2014/main" id="{00000000-0008-0000-1A00-000003000000}"/>
            </a:ext>
          </a:extLst>
        </xdr:cNvPr>
        <xdr:cNvPicPr>
          <a:picLocks noChangeAspect="1" noChangeArrowheads="1"/>
        </xdr:cNvPicPr>
      </xdr:nvPicPr>
      <xdr:blipFill>
        <a:blip xmlns:r="http://schemas.openxmlformats.org/officeDocument/2006/relationships" r:embed="rId3"/>
        <a:srcRect/>
        <a:stretch>
          <a:fillRect/>
        </a:stretch>
      </xdr:blipFill>
      <xdr:spPr>
        <a:xfrm>
          <a:off x="9875520" y="398145"/>
          <a:ext cx="1103630" cy="311785"/>
        </a:xfrm>
        <a:prstGeom prst="roundRect">
          <a:avLst>
            <a:gd name="adj" fmla="val 4167"/>
          </a:avLst>
        </a:prstGeom>
        <a:solidFill>
          <a:srgbClr val="FFFFFF"/>
        </a:solidFill>
        <a:ln w="76200" cap="sq">
          <a:solidFill>
            <a:srgbClr val="292929"/>
          </a:solidFill>
          <a:miter lim="800000"/>
          <a:headEnd/>
          <a:tailEnd/>
        </a:ln>
        <a:effectLst>
          <a:reflection blurRad="12700" stA="28000" endPos="28000" dist="5000" dir="5400000" sy="-100000" algn="bl" rotWithShape="0"/>
        </a:effectLst>
        <a:scene3d>
          <a:camera prst="orthographicFront"/>
          <a:lightRig rig="threePt" dir="t">
            <a:rot lat="0" lon="0" rev="2700000"/>
          </a:lightRig>
        </a:scene3d>
        <a:sp3d>
          <a:bevelT h="38100"/>
          <a:contourClr>
            <a:srgbClr val="C0C0C0"/>
          </a:contourClr>
        </a:sp3d>
      </xdr:spPr>
    </xdr:pic>
    <xdr:clientData fPrintsWithSheet="0"/>
  </xdr:twoCellAnchor>
  <xdr:twoCellAnchor>
    <xdr:from>
      <xdr:col>12</xdr:col>
      <xdr:colOff>114300</xdr:colOff>
      <xdr:row>7</xdr:row>
      <xdr:rowOff>7620</xdr:rowOff>
    </xdr:from>
    <xdr:to>
      <xdr:col>13</xdr:col>
      <xdr:colOff>487680</xdr:colOff>
      <xdr:row>10</xdr:row>
      <xdr:rowOff>365760</xdr:rowOff>
    </xdr:to>
    <xdr:sp macro="" textlink="">
      <xdr:nvSpPr>
        <xdr:cNvPr id="4" name="Rectangle 3">
          <a:extLst>
            <a:ext uri="{FF2B5EF4-FFF2-40B4-BE49-F238E27FC236}">
              <a16:creationId xmlns:a16="http://schemas.microsoft.com/office/drawing/2014/main" id="{00000000-0008-0000-1A00-000004000000}"/>
            </a:ext>
          </a:extLst>
        </xdr:cNvPr>
        <xdr:cNvSpPr/>
      </xdr:nvSpPr>
      <xdr:spPr>
        <a:xfrm>
          <a:off x="9776460" y="1676400"/>
          <a:ext cx="1249680" cy="1118235"/>
        </a:xfrm>
        <a:prstGeom prst="rect">
          <a:avLst/>
        </a:prstGeom>
        <a:solidFill>
          <a:srgbClr val="FFFFFF"/>
        </a:solidFill>
        <a:ln w="9525" cap="flat" cmpd="sng" algn="ctr">
          <a:solidFill>
            <a:srgbClr val="000000"/>
          </a:solidFill>
          <a:prstDash val="solid"/>
          <a:round/>
          <a:headEnd type="none" w="med" len="med"/>
          <a:tailEnd type="none" w="med" len="med"/>
        </a:ln>
      </xdr:spPr>
      <xdr:txBody>
        <a:bodyPr vertOverflow="clip" wrap="square" lIns="18288" tIns="0" rIns="0" bIns="0" rtlCol="0" anchor="ctr" upright="1"/>
        <a:lstStyle/>
        <a:p>
          <a:pPr algn="ctr"/>
          <a:r>
            <a:rPr lang="en-IN" sz="1100" b="0"/>
            <a:t>Make sure that allocation is done properly i.e.  </a:t>
          </a:r>
          <a:r>
            <a:rPr lang="en-IN" sz="1100" b="1"/>
            <a:t>all the cells in SHORTFALL row should show '0'</a:t>
          </a:r>
        </a:p>
      </xdr:txBody>
    </xdr:sp>
    <xdr:clientData/>
  </xdr:twoCellAnchor>
  <xdr:twoCellAnchor>
    <xdr:from>
      <xdr:col>12</xdr:col>
      <xdr:colOff>114300</xdr:colOff>
      <xdr:row>13</xdr:row>
      <xdr:rowOff>342900</xdr:rowOff>
    </xdr:from>
    <xdr:to>
      <xdr:col>13</xdr:col>
      <xdr:colOff>487680</xdr:colOff>
      <xdr:row>18</xdr:row>
      <xdr:rowOff>243840</xdr:rowOff>
    </xdr:to>
    <xdr:sp macro="" textlink="">
      <xdr:nvSpPr>
        <xdr:cNvPr id="7" name="Rectangle 6">
          <a:extLst>
            <a:ext uri="{FF2B5EF4-FFF2-40B4-BE49-F238E27FC236}">
              <a16:creationId xmlns:a16="http://schemas.microsoft.com/office/drawing/2014/main" id="{00000000-0008-0000-1A00-000007000000}"/>
            </a:ext>
          </a:extLst>
        </xdr:cNvPr>
        <xdr:cNvSpPr/>
      </xdr:nvSpPr>
      <xdr:spPr>
        <a:xfrm>
          <a:off x="9776460" y="3526155"/>
          <a:ext cx="1249680" cy="1280160"/>
        </a:xfrm>
        <a:prstGeom prst="rect">
          <a:avLst/>
        </a:prstGeom>
        <a:solidFill>
          <a:srgbClr val="FFFFFF"/>
        </a:solidFill>
        <a:ln w="9525" cap="flat" cmpd="sng" algn="ctr">
          <a:solidFill>
            <a:srgbClr val="000000"/>
          </a:solidFill>
          <a:prstDash val="solid"/>
          <a:round/>
          <a:headEnd type="none" w="med" len="med"/>
          <a:tailEnd type="none" w="med" len="med"/>
        </a:ln>
      </xdr:spPr>
      <xdr:txBody>
        <a:bodyPr vertOverflow="clip" wrap="square" lIns="18288" tIns="0" rIns="0" bIns="0" rtlCol="0" anchor="ctr" upright="1"/>
        <a:lstStyle/>
        <a:p>
          <a:pPr algn="ctr"/>
          <a:r>
            <a:rPr lang="en-IN" sz="1100" b="0"/>
            <a:t>Fill data in columns SCHEME NAME to AMOUNT - </a:t>
          </a:r>
          <a:r>
            <a:rPr lang="en-IN" sz="1100" b="1"/>
            <a:t>left to right </a:t>
          </a:r>
          <a:r>
            <a:rPr lang="en-IN" sz="1100" b="0"/>
            <a:t>- SL NO. and EXPECTED FV </a:t>
          </a:r>
        </a:p>
        <a:p>
          <a:pPr algn="ctr"/>
          <a:r>
            <a:rPr lang="en-IN" sz="1100" b="0"/>
            <a:t>will appear automatically</a:t>
          </a:r>
        </a:p>
      </xdr:txBody>
    </xdr:sp>
    <xdr:clientData/>
  </xdr:twoCellAnchor>
  <xdr:twoCellAnchor>
    <xdr:from>
      <xdr:col>12</xdr:col>
      <xdr:colOff>121920</xdr:colOff>
      <xdr:row>11</xdr:row>
      <xdr:rowOff>53340</xdr:rowOff>
    </xdr:from>
    <xdr:to>
      <xdr:col>13</xdr:col>
      <xdr:colOff>480060</xdr:colOff>
      <xdr:row>13</xdr:row>
      <xdr:rowOff>289560</xdr:rowOff>
    </xdr:to>
    <xdr:sp macro="" textlink="">
      <xdr:nvSpPr>
        <xdr:cNvPr id="8" name="Rectangle 7">
          <a:hlinkClick xmlns:r="http://schemas.openxmlformats.org/officeDocument/2006/relationships" r:id="rId4"/>
          <a:extLst>
            <a:ext uri="{FF2B5EF4-FFF2-40B4-BE49-F238E27FC236}">
              <a16:creationId xmlns:a16="http://schemas.microsoft.com/office/drawing/2014/main" id="{00000000-0008-0000-1A00-000008000000}"/>
            </a:ext>
          </a:extLst>
        </xdr:cNvPr>
        <xdr:cNvSpPr/>
      </xdr:nvSpPr>
      <xdr:spPr>
        <a:xfrm>
          <a:off x="9784080" y="2855595"/>
          <a:ext cx="1234440" cy="617220"/>
        </a:xfrm>
        <a:prstGeom prst="rect">
          <a:avLst/>
        </a:prstGeom>
        <a:solidFill>
          <a:srgbClr val="00B050"/>
        </a:solidFill>
        <a:ln w="9525" cap="flat" cmpd="sng" algn="ctr">
          <a:solidFill>
            <a:srgbClr val="000000"/>
          </a:solidFill>
          <a:prstDash val="solid"/>
          <a:round/>
          <a:headEnd type="none" w="med" len="med"/>
          <a:tailEnd type="none" w="med" len="med"/>
        </a:ln>
      </xdr:spPr>
      <xdr:txBody>
        <a:bodyPr vertOverflow="clip" wrap="square" lIns="18288" tIns="0" rIns="0" bIns="0" rtlCol="0" anchor="ctr" upright="1"/>
        <a:lstStyle/>
        <a:p>
          <a:pPr algn="ctr"/>
          <a:r>
            <a:rPr lang="en-IN" sz="1100" b="1">
              <a:solidFill>
                <a:schemeClr val="bg1"/>
              </a:solidFill>
            </a:rPr>
            <a:t>Click to Allocate Assets </a:t>
          </a:r>
          <a:r>
            <a:rPr lang="en-IN" sz="1100" b="1" u="sng">
              <a:solidFill>
                <a:schemeClr val="bg1"/>
              </a:solidFill>
            </a:rPr>
            <a:t>AMOUNT</a:t>
          </a:r>
          <a:r>
            <a:rPr lang="en-IN" sz="1100" b="1">
              <a:solidFill>
                <a:schemeClr val="bg1"/>
              </a:solidFill>
            </a:rPr>
            <a:t> wise</a:t>
          </a:r>
        </a:p>
      </xdr:txBody>
    </xdr:sp>
    <xdr:clientData/>
  </xdr:twoCellAnchor>
</xdr:wsDr>
</file>

<file path=xl/drawings/drawing28.xml><?xml version="1.0" encoding="utf-8"?>
<xdr:wsDr xmlns:xdr="http://schemas.openxmlformats.org/drawingml/2006/spreadsheetDrawing" xmlns:a="http://schemas.openxmlformats.org/drawingml/2006/main">
  <xdr:twoCellAnchor editAs="oneCell">
    <xdr:from>
      <xdr:col>12</xdr:col>
      <xdr:colOff>186690</xdr:colOff>
      <xdr:row>5</xdr:row>
      <xdr:rowOff>83820</xdr:rowOff>
    </xdr:from>
    <xdr:to>
      <xdr:col>13</xdr:col>
      <xdr:colOff>411480</xdr:colOff>
      <xdr:row>6</xdr:row>
      <xdr:rowOff>295620</xdr:rowOff>
    </xdr:to>
    <xdr:pic>
      <xdr:nvPicPr>
        <xdr:cNvPr id="2" name="Picture 24" descr="Prudent emPower logo txt">
          <a:extLst>
            <a:ext uri="{FF2B5EF4-FFF2-40B4-BE49-F238E27FC236}">
              <a16:creationId xmlns:a16="http://schemas.microsoft.com/office/drawing/2014/main" id="{00000000-0008-0000-1B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9848850" y="1141095"/>
          <a:ext cx="1101090" cy="4648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12</xdr:col>
      <xdr:colOff>213360</xdr:colOff>
      <xdr:row>1</xdr:row>
      <xdr:rowOff>144781</xdr:rowOff>
    </xdr:from>
    <xdr:to>
      <xdr:col>13</xdr:col>
      <xdr:colOff>440690</xdr:colOff>
      <xdr:row>3</xdr:row>
      <xdr:rowOff>159500</xdr:rowOff>
    </xdr:to>
    <xdr:pic>
      <xdr:nvPicPr>
        <xdr:cNvPr id="3" name="Picture 2">
          <a:hlinkClick xmlns:r="http://schemas.openxmlformats.org/officeDocument/2006/relationships" r:id="rId2"/>
          <a:extLst>
            <a:ext uri="{FF2B5EF4-FFF2-40B4-BE49-F238E27FC236}">
              <a16:creationId xmlns:a16="http://schemas.microsoft.com/office/drawing/2014/main" id="{00000000-0008-0000-1B00-000003000000}"/>
            </a:ext>
          </a:extLst>
        </xdr:cNvPr>
        <xdr:cNvPicPr>
          <a:picLocks noChangeAspect="1" noChangeArrowheads="1"/>
        </xdr:cNvPicPr>
      </xdr:nvPicPr>
      <xdr:blipFill>
        <a:blip xmlns:r="http://schemas.openxmlformats.org/officeDocument/2006/relationships" r:embed="rId3"/>
        <a:srcRect/>
        <a:stretch>
          <a:fillRect/>
        </a:stretch>
      </xdr:blipFill>
      <xdr:spPr>
        <a:xfrm>
          <a:off x="9875520" y="398145"/>
          <a:ext cx="1103630" cy="311785"/>
        </a:xfrm>
        <a:prstGeom prst="roundRect">
          <a:avLst>
            <a:gd name="adj" fmla="val 4167"/>
          </a:avLst>
        </a:prstGeom>
        <a:solidFill>
          <a:srgbClr val="FFFFFF"/>
        </a:solidFill>
        <a:ln w="76200" cap="sq">
          <a:solidFill>
            <a:srgbClr val="292929"/>
          </a:solidFill>
          <a:miter lim="800000"/>
          <a:headEnd/>
          <a:tailEnd/>
        </a:ln>
        <a:effectLst>
          <a:reflection blurRad="12700" stA="28000" endPos="28000" dist="5000" dir="5400000" sy="-100000" algn="bl" rotWithShape="0"/>
        </a:effectLst>
        <a:scene3d>
          <a:camera prst="orthographicFront"/>
          <a:lightRig rig="threePt" dir="t">
            <a:rot lat="0" lon="0" rev="2700000"/>
          </a:lightRig>
        </a:scene3d>
        <a:sp3d>
          <a:bevelT h="38100"/>
          <a:contourClr>
            <a:srgbClr val="C0C0C0"/>
          </a:contourClr>
        </a:sp3d>
      </xdr:spPr>
    </xdr:pic>
    <xdr:clientData fPrintsWithSheet="0"/>
  </xdr:twoCellAnchor>
  <xdr:twoCellAnchor>
    <xdr:from>
      <xdr:col>12</xdr:col>
      <xdr:colOff>114300</xdr:colOff>
      <xdr:row>7</xdr:row>
      <xdr:rowOff>7620</xdr:rowOff>
    </xdr:from>
    <xdr:to>
      <xdr:col>13</xdr:col>
      <xdr:colOff>487680</xdr:colOff>
      <xdr:row>10</xdr:row>
      <xdr:rowOff>365760</xdr:rowOff>
    </xdr:to>
    <xdr:sp macro="" textlink="">
      <xdr:nvSpPr>
        <xdr:cNvPr id="4" name="Rectangle 3">
          <a:extLst>
            <a:ext uri="{FF2B5EF4-FFF2-40B4-BE49-F238E27FC236}">
              <a16:creationId xmlns:a16="http://schemas.microsoft.com/office/drawing/2014/main" id="{00000000-0008-0000-1B00-000004000000}"/>
            </a:ext>
          </a:extLst>
        </xdr:cNvPr>
        <xdr:cNvSpPr/>
      </xdr:nvSpPr>
      <xdr:spPr>
        <a:xfrm>
          <a:off x="9776460" y="1676400"/>
          <a:ext cx="1249680" cy="1118235"/>
        </a:xfrm>
        <a:prstGeom prst="rect">
          <a:avLst/>
        </a:prstGeom>
        <a:solidFill>
          <a:srgbClr val="FFFFFF"/>
        </a:solidFill>
        <a:ln w="9525" cap="flat" cmpd="sng" algn="ctr">
          <a:solidFill>
            <a:srgbClr val="000000"/>
          </a:solidFill>
          <a:prstDash val="solid"/>
          <a:round/>
          <a:headEnd type="none" w="med" len="med"/>
          <a:tailEnd type="none" w="med" len="med"/>
        </a:ln>
      </xdr:spPr>
      <xdr:txBody>
        <a:bodyPr vertOverflow="clip" wrap="square" lIns="18288" tIns="0" rIns="0" bIns="0" rtlCol="0" anchor="ctr" upright="1"/>
        <a:lstStyle/>
        <a:p>
          <a:pPr algn="ctr"/>
          <a:r>
            <a:rPr lang="en-IN" sz="1100" b="0"/>
            <a:t>Make sure that allocation is done properly i.e.  </a:t>
          </a:r>
          <a:r>
            <a:rPr lang="en-IN" sz="1100" b="1"/>
            <a:t>all the cells in SHORTFALL row should show '0'</a:t>
          </a:r>
        </a:p>
      </xdr:txBody>
    </xdr:sp>
    <xdr:clientData/>
  </xdr:twoCellAnchor>
  <xdr:twoCellAnchor>
    <xdr:from>
      <xdr:col>12</xdr:col>
      <xdr:colOff>114300</xdr:colOff>
      <xdr:row>13</xdr:row>
      <xdr:rowOff>342900</xdr:rowOff>
    </xdr:from>
    <xdr:to>
      <xdr:col>13</xdr:col>
      <xdr:colOff>487680</xdr:colOff>
      <xdr:row>18</xdr:row>
      <xdr:rowOff>243840</xdr:rowOff>
    </xdr:to>
    <xdr:sp macro="" textlink="">
      <xdr:nvSpPr>
        <xdr:cNvPr id="5" name="Rectangle 4">
          <a:extLst>
            <a:ext uri="{FF2B5EF4-FFF2-40B4-BE49-F238E27FC236}">
              <a16:creationId xmlns:a16="http://schemas.microsoft.com/office/drawing/2014/main" id="{00000000-0008-0000-1B00-000005000000}"/>
            </a:ext>
          </a:extLst>
        </xdr:cNvPr>
        <xdr:cNvSpPr/>
      </xdr:nvSpPr>
      <xdr:spPr>
        <a:xfrm>
          <a:off x="9776460" y="3526155"/>
          <a:ext cx="1249680" cy="1280160"/>
        </a:xfrm>
        <a:prstGeom prst="rect">
          <a:avLst/>
        </a:prstGeom>
        <a:solidFill>
          <a:srgbClr val="FFFFFF"/>
        </a:solidFill>
        <a:ln w="9525" cap="flat" cmpd="sng" algn="ctr">
          <a:solidFill>
            <a:srgbClr val="000000"/>
          </a:solidFill>
          <a:prstDash val="solid"/>
          <a:round/>
          <a:headEnd type="none" w="med" len="med"/>
          <a:tailEnd type="none" w="med" len="med"/>
        </a:ln>
      </xdr:spPr>
      <xdr:txBody>
        <a:bodyPr vertOverflow="clip" wrap="square" lIns="18288" tIns="0" rIns="0" bIns="0" rtlCol="0" anchor="ctr" upright="1"/>
        <a:lstStyle/>
        <a:p>
          <a:pPr algn="ctr"/>
          <a:r>
            <a:rPr lang="en-IN" sz="1100" b="0"/>
            <a:t>Fill data in columns SCHEME NAME to AMOUNT - </a:t>
          </a:r>
          <a:r>
            <a:rPr lang="en-IN" sz="1100" b="1"/>
            <a:t>left to right </a:t>
          </a:r>
          <a:r>
            <a:rPr lang="en-IN" sz="1100" b="0"/>
            <a:t>- SL NO. and EXPECTED FV </a:t>
          </a:r>
        </a:p>
        <a:p>
          <a:pPr algn="ctr"/>
          <a:r>
            <a:rPr lang="en-IN" sz="1100" b="0"/>
            <a:t>will appear automatically</a:t>
          </a:r>
        </a:p>
      </xdr:txBody>
    </xdr:sp>
    <xdr:clientData/>
  </xdr:twoCellAnchor>
  <xdr:twoCellAnchor>
    <xdr:from>
      <xdr:col>12</xdr:col>
      <xdr:colOff>121920</xdr:colOff>
      <xdr:row>11</xdr:row>
      <xdr:rowOff>53340</xdr:rowOff>
    </xdr:from>
    <xdr:to>
      <xdr:col>13</xdr:col>
      <xdr:colOff>480060</xdr:colOff>
      <xdr:row>13</xdr:row>
      <xdr:rowOff>289560</xdr:rowOff>
    </xdr:to>
    <xdr:sp macro="" textlink="">
      <xdr:nvSpPr>
        <xdr:cNvPr id="7" name="Rectangle 6">
          <a:hlinkClick xmlns:r="http://schemas.openxmlformats.org/officeDocument/2006/relationships" r:id="rId4"/>
          <a:extLst>
            <a:ext uri="{FF2B5EF4-FFF2-40B4-BE49-F238E27FC236}">
              <a16:creationId xmlns:a16="http://schemas.microsoft.com/office/drawing/2014/main" id="{00000000-0008-0000-1B00-000007000000}"/>
            </a:ext>
          </a:extLst>
        </xdr:cNvPr>
        <xdr:cNvSpPr/>
      </xdr:nvSpPr>
      <xdr:spPr>
        <a:xfrm>
          <a:off x="9784080" y="2855595"/>
          <a:ext cx="1234440" cy="617220"/>
        </a:xfrm>
        <a:prstGeom prst="rect">
          <a:avLst/>
        </a:prstGeom>
        <a:solidFill>
          <a:srgbClr val="00B050"/>
        </a:solidFill>
        <a:ln w="9525" cap="flat" cmpd="sng" algn="ctr">
          <a:solidFill>
            <a:srgbClr val="000000"/>
          </a:solidFill>
          <a:prstDash val="solid"/>
          <a:round/>
          <a:headEnd type="none" w="med" len="med"/>
          <a:tailEnd type="none" w="med" len="med"/>
        </a:ln>
      </xdr:spPr>
      <xdr:txBody>
        <a:bodyPr vertOverflow="clip" wrap="square" lIns="18288" tIns="0" rIns="0" bIns="0" rtlCol="0" anchor="ctr" upright="1"/>
        <a:lstStyle/>
        <a:p>
          <a:pPr algn="ctr"/>
          <a:r>
            <a:rPr lang="en-IN" sz="1100" b="1">
              <a:solidFill>
                <a:schemeClr val="bg1"/>
              </a:solidFill>
            </a:rPr>
            <a:t>Click to Allocate Assets </a:t>
          </a:r>
          <a:r>
            <a:rPr lang="en-IN" sz="1100" b="1" u="sng">
              <a:solidFill>
                <a:schemeClr val="bg1"/>
              </a:solidFill>
            </a:rPr>
            <a:t>PERCENT</a:t>
          </a:r>
          <a:r>
            <a:rPr lang="en-IN" sz="1100" b="1">
              <a:solidFill>
                <a:schemeClr val="bg1"/>
              </a:solidFill>
            </a:rPr>
            <a:t> wise</a:t>
          </a:r>
        </a:p>
      </xdr:txBody>
    </xdr:sp>
    <xdr:clientData/>
  </xdr:twoCellAnchor>
</xdr:wsDr>
</file>

<file path=xl/drawings/drawing29.xml><?xml version="1.0" encoding="utf-8"?>
<xdr:wsDr xmlns:xdr="http://schemas.openxmlformats.org/drawingml/2006/spreadsheetDrawing" xmlns:a="http://schemas.openxmlformats.org/drawingml/2006/main">
  <xdr:twoCellAnchor editAs="oneCell">
    <xdr:from>
      <xdr:col>10</xdr:col>
      <xdr:colOff>97791</xdr:colOff>
      <xdr:row>9</xdr:row>
      <xdr:rowOff>17170</xdr:rowOff>
    </xdr:from>
    <xdr:to>
      <xdr:col>12</xdr:col>
      <xdr:colOff>243841</xdr:colOff>
      <xdr:row>11</xdr:row>
      <xdr:rowOff>87629</xdr:rowOff>
    </xdr:to>
    <xdr:pic>
      <xdr:nvPicPr>
        <xdr:cNvPr id="3" name="Picture 2">
          <a:hlinkClick xmlns:r="http://schemas.openxmlformats.org/officeDocument/2006/relationships" r:id="rId1"/>
          <a:extLst>
            <a:ext uri="{FF2B5EF4-FFF2-40B4-BE49-F238E27FC236}">
              <a16:creationId xmlns:a16="http://schemas.microsoft.com/office/drawing/2014/main" id="{00000000-0008-0000-1C00-000003000000}"/>
            </a:ext>
          </a:extLst>
        </xdr:cNvPr>
        <xdr:cNvPicPr>
          <a:picLocks noChangeAspect="1" noChangeArrowheads="1"/>
        </xdr:cNvPicPr>
      </xdr:nvPicPr>
      <xdr:blipFill>
        <a:blip xmlns:r="http://schemas.openxmlformats.org/officeDocument/2006/relationships" r:embed="rId2"/>
        <a:srcRect/>
        <a:stretch>
          <a:fillRect/>
        </a:stretch>
      </xdr:blipFill>
      <xdr:spPr>
        <a:xfrm>
          <a:off x="6902450" y="1228725"/>
          <a:ext cx="1410970" cy="405130"/>
        </a:xfrm>
        <a:prstGeom prst="roundRect">
          <a:avLst>
            <a:gd name="adj" fmla="val 4167"/>
          </a:avLst>
        </a:prstGeom>
        <a:solidFill>
          <a:srgbClr val="FFFFFF"/>
        </a:solidFill>
        <a:ln w="76200" cap="sq">
          <a:solidFill>
            <a:srgbClr val="292929"/>
          </a:solidFill>
          <a:miter lim="800000"/>
          <a:headEnd/>
          <a:tailEnd/>
        </a:ln>
        <a:effectLst>
          <a:reflection blurRad="12700" stA="28000" endPos="28000" dist="5000" dir="5400000" sy="-100000" algn="bl" rotWithShape="0"/>
        </a:effectLst>
        <a:scene3d>
          <a:camera prst="orthographicFront"/>
          <a:lightRig rig="threePt" dir="t">
            <a:rot lat="0" lon="0" rev="2700000"/>
          </a:lightRig>
        </a:scene3d>
        <a:sp3d>
          <a:bevelT h="38100"/>
          <a:contourClr>
            <a:srgbClr val="C0C0C0"/>
          </a:contourClr>
        </a:sp3d>
      </xdr:spPr>
    </xdr:pic>
    <xdr:clientData/>
  </xdr:twoCellAnchor>
</xdr:wsDr>
</file>

<file path=xl/drawings/drawing3.xml><?xml version="1.0" encoding="utf-8"?>
<xdr:wsDr xmlns:xdr="http://schemas.openxmlformats.org/drawingml/2006/spreadsheetDrawing" xmlns:a="http://schemas.openxmlformats.org/drawingml/2006/main">
  <xdr:twoCellAnchor>
    <xdr:from>
      <xdr:col>7</xdr:col>
      <xdr:colOff>73026</xdr:colOff>
      <xdr:row>0</xdr:row>
      <xdr:rowOff>285749</xdr:rowOff>
    </xdr:from>
    <xdr:to>
      <xdr:col>12</xdr:col>
      <xdr:colOff>847726</xdr:colOff>
      <xdr:row>17</xdr:row>
      <xdr:rowOff>0</xdr:rowOff>
    </xdr:to>
    <xdr:graphicFrame macro="">
      <xdr:nvGraphicFramePr>
        <xdr:cNvPr id="2" name="Chart 1">
          <a:extLst>
            <a:ext uri="{FF2B5EF4-FFF2-40B4-BE49-F238E27FC236}">
              <a16:creationId xmlns:a16="http://schemas.microsoft.com/office/drawing/2014/main" id="{00000000-0008-0000-0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13</xdr:col>
      <xdr:colOff>400050</xdr:colOff>
      <xdr:row>0</xdr:row>
      <xdr:rowOff>57150</xdr:rowOff>
    </xdr:from>
    <xdr:to>
      <xdr:col>16</xdr:col>
      <xdr:colOff>161925</xdr:colOff>
      <xdr:row>1</xdr:row>
      <xdr:rowOff>180975</xdr:rowOff>
    </xdr:to>
    <xdr:pic>
      <xdr:nvPicPr>
        <xdr:cNvPr id="5" name="Picture 4">
          <a:hlinkClick xmlns:r="http://schemas.openxmlformats.org/officeDocument/2006/relationships" r:id="rId2"/>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3"/>
        <a:srcRect/>
        <a:stretch>
          <a:fillRect/>
        </a:stretch>
      </xdr:blipFill>
      <xdr:spPr>
        <a:xfrm>
          <a:off x="10222230" y="57150"/>
          <a:ext cx="1659255" cy="466725"/>
        </a:xfrm>
        <a:prstGeom prst="roundRect">
          <a:avLst>
            <a:gd name="adj" fmla="val 4167"/>
          </a:avLst>
        </a:prstGeom>
        <a:solidFill>
          <a:srgbClr val="FFFFFF"/>
        </a:solidFill>
        <a:ln w="76200" cap="sq">
          <a:solidFill>
            <a:srgbClr val="292929"/>
          </a:solidFill>
          <a:miter lim="800000"/>
          <a:headEnd/>
          <a:tailEnd/>
        </a:ln>
        <a:effectLst>
          <a:reflection blurRad="12700" stA="28000" endPos="28000" dist="5000" dir="5400000" sy="-100000" algn="bl" rotWithShape="0"/>
        </a:effectLst>
        <a:scene3d>
          <a:camera prst="orthographicFront"/>
          <a:lightRig rig="threePt" dir="t">
            <a:rot lat="0" lon="0" rev="2700000"/>
          </a:lightRig>
        </a:scene3d>
        <a:sp3d>
          <a:bevelT h="38100"/>
          <a:contourClr>
            <a:srgbClr val="C0C0C0"/>
          </a:contourClr>
        </a:sp3d>
      </xdr:spPr>
    </xdr:pic>
    <xdr:clientData fPrintsWithSheet="0"/>
  </xdr:twoCellAnchor>
  <xdr:twoCellAnchor editAs="oneCell">
    <xdr:from>
      <xdr:col>1</xdr:col>
      <xdr:colOff>19050</xdr:colOff>
      <xdr:row>17</xdr:row>
      <xdr:rowOff>44450</xdr:rowOff>
    </xdr:from>
    <xdr:to>
      <xdr:col>2</xdr:col>
      <xdr:colOff>935038</xdr:colOff>
      <xdr:row>21</xdr:row>
      <xdr:rowOff>55562</xdr:rowOff>
    </xdr:to>
    <xdr:pic>
      <xdr:nvPicPr>
        <xdr:cNvPr id="4" name="Picture 24" descr="Prudent emPower logo txt">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a:xfrm>
          <a:off x="308610" y="4193540"/>
          <a:ext cx="1921510" cy="8261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wsDr>
</file>

<file path=xl/drawings/drawing4.xml><?xml version="1.0" encoding="utf-8"?>
<xdr:wsDr xmlns:xdr="http://schemas.openxmlformats.org/drawingml/2006/spreadsheetDrawing" xmlns:a="http://schemas.openxmlformats.org/drawingml/2006/main">
  <xdr:twoCellAnchor editAs="oneCell">
    <xdr:from>
      <xdr:col>18</xdr:col>
      <xdr:colOff>469900</xdr:colOff>
      <xdr:row>4</xdr:row>
      <xdr:rowOff>111125</xdr:rowOff>
    </xdr:from>
    <xdr:to>
      <xdr:col>21</xdr:col>
      <xdr:colOff>231775</xdr:colOff>
      <xdr:row>6</xdr:row>
      <xdr:rowOff>71120</xdr:rowOff>
    </xdr:to>
    <xdr:pic>
      <xdr:nvPicPr>
        <xdr:cNvPr id="5" name="Picture 4">
          <a:hlinkClick xmlns:r="http://schemas.openxmlformats.org/officeDocument/2006/relationships" r:id="rId1"/>
          <a:extLst>
            <a:ext uri="{FF2B5EF4-FFF2-40B4-BE49-F238E27FC236}">
              <a16:creationId xmlns:a16="http://schemas.microsoft.com/office/drawing/2014/main" id="{00000000-0008-0000-0300-000005000000}"/>
            </a:ext>
          </a:extLst>
        </xdr:cNvPr>
        <xdr:cNvPicPr>
          <a:picLocks noChangeAspect="1" noChangeArrowheads="1"/>
        </xdr:cNvPicPr>
      </xdr:nvPicPr>
      <xdr:blipFill>
        <a:blip xmlns:r="http://schemas.openxmlformats.org/officeDocument/2006/relationships" r:embed="rId2"/>
        <a:srcRect/>
        <a:stretch>
          <a:fillRect/>
        </a:stretch>
      </xdr:blipFill>
      <xdr:spPr>
        <a:xfrm>
          <a:off x="10398760" y="1156970"/>
          <a:ext cx="1659255" cy="466725"/>
        </a:xfrm>
        <a:prstGeom prst="roundRect">
          <a:avLst>
            <a:gd name="adj" fmla="val 4167"/>
          </a:avLst>
        </a:prstGeom>
        <a:solidFill>
          <a:srgbClr val="FFFFFF"/>
        </a:solidFill>
        <a:ln w="76200" cap="sq">
          <a:solidFill>
            <a:srgbClr val="292929"/>
          </a:solidFill>
          <a:miter lim="800000"/>
          <a:headEnd/>
          <a:tailEnd/>
        </a:ln>
        <a:effectLst>
          <a:reflection blurRad="12700" stA="28000" endPos="28000" dist="5000" dir="5400000" sy="-100000" algn="bl" rotWithShape="0"/>
        </a:effectLst>
        <a:scene3d>
          <a:camera prst="orthographicFront"/>
          <a:lightRig rig="threePt" dir="t">
            <a:rot lat="0" lon="0" rev="2700000"/>
          </a:lightRig>
        </a:scene3d>
        <a:sp3d>
          <a:bevelT h="38100"/>
          <a:contourClr>
            <a:srgbClr val="C0C0C0"/>
          </a:contourClr>
        </a:sp3d>
      </xdr:spPr>
    </xdr:pic>
    <xdr:clientData fPrintsWithSheet="0"/>
  </xdr:twoCellAnchor>
  <xdr:twoCellAnchor>
    <xdr:from>
      <xdr:col>9</xdr:col>
      <xdr:colOff>0</xdr:colOff>
      <xdr:row>5</xdr:row>
      <xdr:rowOff>95249</xdr:rowOff>
    </xdr:from>
    <xdr:to>
      <xdr:col>17</xdr:col>
      <xdr:colOff>0</xdr:colOff>
      <xdr:row>22</xdr:row>
      <xdr:rowOff>190499</xdr:rowOff>
    </xdr:to>
    <xdr:graphicFrame macro="">
      <xdr:nvGraphicFramePr>
        <xdr:cNvPr id="6" name="Chart 5">
          <a:extLst>
            <a:ext uri="{FF2B5EF4-FFF2-40B4-BE49-F238E27FC236}">
              <a16:creationId xmlns:a16="http://schemas.microsoft.com/office/drawing/2014/main" id="{00000000-0008-0000-03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18</xdr:col>
      <xdr:colOff>336550</xdr:colOff>
      <xdr:row>0</xdr:row>
      <xdr:rowOff>69850</xdr:rowOff>
    </xdr:from>
    <xdr:to>
      <xdr:col>21</xdr:col>
      <xdr:colOff>357188</xdr:colOff>
      <xdr:row>3</xdr:row>
      <xdr:rowOff>94932</xdr:rowOff>
    </xdr:to>
    <xdr:pic>
      <xdr:nvPicPr>
        <xdr:cNvPr id="4" name="Picture 24" descr="Prudent emPower logo txt">
          <a:extLst>
            <a:ext uri="{FF2B5EF4-FFF2-40B4-BE49-F238E27FC236}">
              <a16:creationId xmlns:a16="http://schemas.microsoft.com/office/drawing/2014/main" id="{00000000-0008-0000-0300-000004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a:xfrm>
          <a:off x="10265410" y="69850"/>
          <a:ext cx="1917700" cy="8172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92615</xdr:colOff>
      <xdr:row>7</xdr:row>
      <xdr:rowOff>21685</xdr:rowOff>
    </xdr:from>
    <xdr:to>
      <xdr:col>0</xdr:col>
      <xdr:colOff>553427</xdr:colOff>
      <xdr:row>12</xdr:row>
      <xdr:rowOff>77177</xdr:rowOff>
    </xdr:to>
    <xdr:pic>
      <xdr:nvPicPr>
        <xdr:cNvPr id="2" name="Picture 24" descr="Prudent emPower logo txt">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rot="16200000">
          <a:off x="-213360" y="1739265"/>
          <a:ext cx="1072515" cy="460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78105</xdr:colOff>
      <xdr:row>5</xdr:row>
      <xdr:rowOff>169545</xdr:rowOff>
    </xdr:from>
    <xdr:to>
      <xdr:col>6</xdr:col>
      <xdr:colOff>548640</xdr:colOff>
      <xdr:row>13</xdr:row>
      <xdr:rowOff>114300</xdr:rowOff>
    </xdr:to>
    <xdr:pic>
      <xdr:nvPicPr>
        <xdr:cNvPr id="4" name="Picture 3">
          <a:hlinkClick xmlns:r="http://schemas.openxmlformats.org/officeDocument/2006/relationships" r:id="rId2"/>
          <a:extLst>
            <a:ext uri="{FF2B5EF4-FFF2-40B4-BE49-F238E27FC236}">
              <a16:creationId xmlns:a16="http://schemas.microsoft.com/office/drawing/2014/main" id="{00000000-0008-0000-0400-000004000000}"/>
            </a:ext>
          </a:extLst>
        </xdr:cNvPr>
        <xdr:cNvPicPr>
          <a:picLocks noChangeAspect="1" noChangeArrowheads="1"/>
        </xdr:cNvPicPr>
      </xdr:nvPicPr>
      <xdr:blipFill>
        <a:blip xmlns:r="http://schemas.openxmlformats.org/officeDocument/2006/relationships" r:embed="rId3"/>
        <a:srcRect/>
        <a:stretch>
          <a:fillRect/>
        </a:stretch>
      </xdr:blipFill>
      <xdr:spPr>
        <a:xfrm rot="5400000">
          <a:off x="7178040" y="1712595"/>
          <a:ext cx="1647825" cy="470535"/>
        </a:xfrm>
        <a:prstGeom prst="roundRect">
          <a:avLst>
            <a:gd name="adj" fmla="val 4167"/>
          </a:avLst>
        </a:prstGeom>
        <a:solidFill>
          <a:srgbClr val="FFFFFF"/>
        </a:solidFill>
        <a:ln w="76200" cap="sq">
          <a:solidFill>
            <a:srgbClr val="292929"/>
          </a:solidFill>
          <a:miter lim="800000"/>
          <a:headEnd/>
          <a:tailEnd/>
        </a:ln>
        <a:effectLst>
          <a:reflection blurRad="12700" stA="28000" endPos="28000" dist="5000" dir="5400000" sy="-100000" algn="bl" rotWithShape="0"/>
        </a:effectLst>
        <a:scene3d>
          <a:camera prst="orthographicFront"/>
          <a:lightRig rig="threePt" dir="t">
            <a:rot lat="0" lon="0" rev="2700000"/>
          </a:lightRig>
        </a:scene3d>
        <a:sp3d>
          <a:bevelT h="38100"/>
          <a:contourClr>
            <a:srgbClr val="C0C0C0"/>
          </a:contourClr>
        </a:sp3d>
      </xdr:spPr>
    </xdr:pic>
    <xdr:clientData fPrintsWithSheet="0"/>
  </xdr:twoCellAnchor>
</xdr:wsDr>
</file>

<file path=xl/drawings/drawing6.xml><?xml version="1.0" encoding="utf-8"?>
<xdr:wsDr xmlns:xdr="http://schemas.openxmlformats.org/drawingml/2006/spreadsheetDrawing" xmlns:a="http://schemas.openxmlformats.org/drawingml/2006/main">
  <xdr:twoCellAnchor>
    <xdr:from>
      <xdr:col>12</xdr:col>
      <xdr:colOff>28576</xdr:colOff>
      <xdr:row>7</xdr:row>
      <xdr:rowOff>95249</xdr:rowOff>
    </xdr:from>
    <xdr:to>
      <xdr:col>17</xdr:col>
      <xdr:colOff>209550</xdr:colOff>
      <xdr:row>15</xdr:row>
      <xdr:rowOff>219074</xdr:rowOff>
    </xdr:to>
    <xdr:graphicFrame macro="">
      <xdr:nvGraphicFramePr>
        <xdr:cNvPr id="2" name="Chart 1">
          <a:extLst>
            <a:ext uri="{FF2B5EF4-FFF2-40B4-BE49-F238E27FC236}">
              <a16:creationId xmlns:a16="http://schemas.microsoft.com/office/drawing/2014/main" id="{00000000-0008-0000-05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38101</xdr:colOff>
      <xdr:row>8</xdr:row>
      <xdr:rowOff>0</xdr:rowOff>
    </xdr:from>
    <xdr:to>
      <xdr:col>3</xdr:col>
      <xdr:colOff>533401</xdr:colOff>
      <xdr:row>15</xdr:row>
      <xdr:rowOff>95250</xdr:rowOff>
    </xdr:to>
    <xdr:sp macro="" textlink="">
      <xdr:nvSpPr>
        <xdr:cNvPr id="3" name="TextBox 2">
          <a:extLst>
            <a:ext uri="{FF2B5EF4-FFF2-40B4-BE49-F238E27FC236}">
              <a16:creationId xmlns:a16="http://schemas.microsoft.com/office/drawing/2014/main" id="{00000000-0008-0000-0500-000003000000}"/>
            </a:ext>
          </a:extLst>
        </xdr:cNvPr>
        <xdr:cNvSpPr txBox="1"/>
      </xdr:nvSpPr>
      <xdr:spPr>
        <a:xfrm>
          <a:off x="327660" y="2085975"/>
          <a:ext cx="2217420" cy="1895475"/>
        </a:xfrm>
        <a:prstGeom prst="rect">
          <a:avLst/>
        </a:prstGeom>
        <a:solidFill>
          <a:schemeClr val="tx2">
            <a:lumMod val="60000"/>
            <a:lumOff val="40000"/>
          </a:schemeClr>
        </a:solidFill>
        <a:ln w="9525" cmpd="sng">
          <a:solidFill>
            <a:srgbClr val="C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2400" b="1">
              <a:solidFill>
                <a:schemeClr val="bg1"/>
              </a:solidFill>
            </a:rPr>
            <a:t>RETIREMENT PLANNING</a:t>
          </a:r>
        </a:p>
        <a:p>
          <a:pPr algn="ctr"/>
          <a:r>
            <a:rPr lang="en-US" sz="2400" b="1">
              <a:solidFill>
                <a:schemeClr val="bg1"/>
              </a:solidFill>
            </a:rPr>
            <a:t>through</a:t>
          </a:r>
        </a:p>
        <a:p>
          <a:pPr algn="ctr"/>
          <a:r>
            <a:rPr lang="en-US" sz="2400" b="1">
              <a:solidFill>
                <a:schemeClr val="bg1"/>
              </a:solidFill>
            </a:rPr>
            <a:t>SIP and SWP</a:t>
          </a:r>
        </a:p>
      </xdr:txBody>
    </xdr:sp>
    <xdr:clientData/>
  </xdr:twoCellAnchor>
  <xdr:twoCellAnchor editAs="oneCell">
    <xdr:from>
      <xdr:col>8</xdr:col>
      <xdr:colOff>139700</xdr:colOff>
      <xdr:row>12</xdr:row>
      <xdr:rowOff>219075</xdr:rowOff>
    </xdr:from>
    <xdr:to>
      <xdr:col>11</xdr:col>
      <xdr:colOff>254000</xdr:colOff>
      <xdr:row>14</xdr:row>
      <xdr:rowOff>190500</xdr:rowOff>
    </xdr:to>
    <xdr:pic>
      <xdr:nvPicPr>
        <xdr:cNvPr id="4" name="Picture 3">
          <a:hlinkClick xmlns:r="http://schemas.openxmlformats.org/officeDocument/2006/relationships" r:id="rId2"/>
          <a:extLst>
            <a:ext uri="{FF2B5EF4-FFF2-40B4-BE49-F238E27FC236}">
              <a16:creationId xmlns:a16="http://schemas.microsoft.com/office/drawing/2014/main" id="{00000000-0008-0000-0500-000004000000}"/>
            </a:ext>
          </a:extLst>
        </xdr:cNvPr>
        <xdr:cNvPicPr>
          <a:picLocks noChangeAspect="1" noChangeArrowheads="1"/>
        </xdr:cNvPicPr>
      </xdr:nvPicPr>
      <xdr:blipFill>
        <a:blip xmlns:r="http://schemas.openxmlformats.org/officeDocument/2006/relationships" r:embed="rId3"/>
        <a:srcRect/>
        <a:stretch>
          <a:fillRect/>
        </a:stretch>
      </xdr:blipFill>
      <xdr:spPr>
        <a:xfrm>
          <a:off x="5595620" y="3333750"/>
          <a:ext cx="1638300" cy="485775"/>
        </a:xfrm>
        <a:prstGeom prst="roundRect">
          <a:avLst>
            <a:gd name="adj" fmla="val 4167"/>
          </a:avLst>
        </a:prstGeom>
        <a:solidFill>
          <a:srgbClr val="FFFFFF"/>
        </a:solidFill>
        <a:ln w="76200" cap="sq">
          <a:solidFill>
            <a:srgbClr val="292929"/>
          </a:solidFill>
          <a:miter lim="800000"/>
          <a:headEnd/>
          <a:tailEnd/>
        </a:ln>
        <a:effectLst>
          <a:reflection blurRad="12700" stA="28000" endPos="28000" dist="5000" dir="5400000" sy="-100000" algn="bl" rotWithShape="0"/>
        </a:effectLst>
        <a:scene3d>
          <a:camera prst="orthographicFront"/>
          <a:lightRig rig="threePt" dir="t">
            <a:rot lat="0" lon="0" rev="2700000"/>
          </a:lightRig>
        </a:scene3d>
        <a:sp3d>
          <a:bevelT h="38100"/>
          <a:contourClr>
            <a:srgbClr val="C0C0C0"/>
          </a:contourClr>
        </a:sp3d>
      </xdr:spPr>
    </xdr:pic>
    <xdr:clientData fPrintsWithSheet="0"/>
  </xdr:twoCellAnchor>
  <xdr:twoCellAnchor editAs="oneCell">
    <xdr:from>
      <xdr:col>4</xdr:col>
      <xdr:colOff>31750</xdr:colOff>
      <xdr:row>12</xdr:row>
      <xdr:rowOff>25400</xdr:rowOff>
    </xdr:from>
    <xdr:to>
      <xdr:col>6</xdr:col>
      <xdr:colOff>617538</xdr:colOff>
      <xdr:row>15</xdr:row>
      <xdr:rowOff>87312</xdr:rowOff>
    </xdr:to>
    <xdr:pic>
      <xdr:nvPicPr>
        <xdr:cNvPr id="5" name="Picture 24" descr="Prudent emPower logo txt">
          <a:extLst>
            <a:ext uri="{FF2B5EF4-FFF2-40B4-BE49-F238E27FC236}">
              <a16:creationId xmlns:a16="http://schemas.microsoft.com/office/drawing/2014/main" id="{00000000-0008-0000-0500-000005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a:xfrm>
          <a:off x="2645410" y="3140075"/>
          <a:ext cx="1911350" cy="833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wsDr>
</file>

<file path=xl/drawings/drawing7.xml><?xml version="1.0" encoding="utf-8"?>
<xdr:wsDr xmlns:xdr="http://schemas.openxmlformats.org/drawingml/2006/spreadsheetDrawing" xmlns:a="http://schemas.openxmlformats.org/drawingml/2006/main">
  <xdr:twoCellAnchor>
    <xdr:from>
      <xdr:col>11</xdr:col>
      <xdr:colOff>95249</xdr:colOff>
      <xdr:row>10</xdr:row>
      <xdr:rowOff>0</xdr:rowOff>
    </xdr:from>
    <xdr:to>
      <xdr:col>18</xdr:col>
      <xdr:colOff>0</xdr:colOff>
      <xdr:row>26</xdr:row>
      <xdr:rowOff>38100</xdr:rowOff>
    </xdr:to>
    <xdr:graphicFrame macro="">
      <xdr:nvGraphicFramePr>
        <xdr:cNvPr id="2" name="Chart 1">
          <a:extLst>
            <a:ext uri="{FF2B5EF4-FFF2-40B4-BE49-F238E27FC236}">
              <a16:creationId xmlns:a16="http://schemas.microsoft.com/office/drawing/2014/main" id="{00000000-0008-0000-06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4</xdr:col>
      <xdr:colOff>76204</xdr:colOff>
      <xdr:row>4</xdr:row>
      <xdr:rowOff>70075</xdr:rowOff>
    </xdr:from>
    <xdr:to>
      <xdr:col>5</xdr:col>
      <xdr:colOff>122346</xdr:colOff>
      <xdr:row>6</xdr:row>
      <xdr:rowOff>1342</xdr:rowOff>
    </xdr:to>
    <xdr:pic>
      <xdr:nvPicPr>
        <xdr:cNvPr id="3" name="Picture 2">
          <a:hlinkClick xmlns:r="http://schemas.openxmlformats.org/officeDocument/2006/relationships" r:id="rId2"/>
          <a:extLst>
            <a:ext uri="{FF2B5EF4-FFF2-40B4-BE49-F238E27FC236}">
              <a16:creationId xmlns:a16="http://schemas.microsoft.com/office/drawing/2014/main" id="{00000000-0008-0000-0600-000003000000}"/>
            </a:ext>
          </a:extLst>
        </xdr:cNvPr>
        <xdr:cNvPicPr>
          <a:picLocks noChangeAspect="1" noChangeArrowheads="1"/>
        </xdr:cNvPicPr>
      </xdr:nvPicPr>
      <xdr:blipFill>
        <a:blip xmlns:r="http://schemas.openxmlformats.org/officeDocument/2006/relationships" r:embed="rId3"/>
        <a:srcRect/>
        <a:stretch>
          <a:fillRect/>
        </a:stretch>
      </xdr:blipFill>
      <xdr:spPr>
        <a:xfrm>
          <a:off x="2712720" y="984250"/>
          <a:ext cx="876300" cy="264795"/>
        </a:xfrm>
        <a:prstGeom prst="roundRect">
          <a:avLst>
            <a:gd name="adj" fmla="val 4167"/>
          </a:avLst>
        </a:prstGeom>
        <a:solidFill>
          <a:srgbClr val="FFFFFF"/>
        </a:solidFill>
        <a:ln w="76200" cap="sq">
          <a:solidFill>
            <a:srgbClr val="292929"/>
          </a:solidFill>
          <a:miter lim="800000"/>
          <a:headEnd/>
          <a:tailEnd/>
        </a:ln>
        <a:effectLst>
          <a:reflection blurRad="12700" stA="28000" endPos="28000" dist="5000" dir="5400000" sy="-100000" algn="bl" rotWithShape="0"/>
        </a:effectLst>
        <a:scene3d>
          <a:camera prst="orthographicFront"/>
          <a:lightRig rig="threePt" dir="t">
            <a:rot lat="0" lon="0" rev="2700000"/>
          </a:lightRig>
        </a:scene3d>
        <a:sp3d>
          <a:bevelT h="38100"/>
          <a:contourClr>
            <a:srgbClr val="C0C0C0"/>
          </a:contourClr>
        </a:sp3d>
      </xdr:spPr>
    </xdr:pic>
    <xdr:clientData fPrintsWithSheet="0"/>
  </xdr:twoCellAnchor>
  <xdr:twoCellAnchor editAs="oneCell">
    <xdr:from>
      <xdr:col>4</xdr:col>
      <xdr:colOff>48258</xdr:colOff>
      <xdr:row>2</xdr:row>
      <xdr:rowOff>49530</xdr:rowOff>
    </xdr:from>
    <xdr:to>
      <xdr:col>4</xdr:col>
      <xdr:colOff>819839</xdr:colOff>
      <xdr:row>3</xdr:row>
      <xdr:rowOff>152082</xdr:rowOff>
    </xdr:to>
    <xdr:pic>
      <xdr:nvPicPr>
        <xdr:cNvPr id="4" name="Picture 24" descr="Prudent emPower logo txt">
          <a:extLst>
            <a:ext uri="{FF2B5EF4-FFF2-40B4-BE49-F238E27FC236}">
              <a16:creationId xmlns:a16="http://schemas.microsoft.com/office/drawing/2014/main" id="{00000000-0008-0000-0600-000004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a:xfrm>
          <a:off x="2684145" y="506730"/>
          <a:ext cx="772160" cy="3308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5</xdr:col>
      <xdr:colOff>266700</xdr:colOff>
      <xdr:row>4</xdr:row>
      <xdr:rowOff>50800</xdr:rowOff>
    </xdr:from>
    <xdr:to>
      <xdr:col>11</xdr:col>
      <xdr:colOff>673100</xdr:colOff>
      <xdr:row>6</xdr:row>
      <xdr:rowOff>29633</xdr:rowOff>
    </xdr:to>
    <xdr:sp macro="" textlink="">
      <xdr:nvSpPr>
        <xdr:cNvPr id="5" name="Rectangle: Rounded Corners 4">
          <a:hlinkClick xmlns:r="http://schemas.openxmlformats.org/officeDocument/2006/relationships" r:id="rId5" tooltip="Portfolio Comparison"/>
          <a:extLst>
            <a:ext uri="{FF2B5EF4-FFF2-40B4-BE49-F238E27FC236}">
              <a16:creationId xmlns:a16="http://schemas.microsoft.com/office/drawing/2014/main" id="{00000000-0008-0000-0600-000005000000}"/>
            </a:ext>
          </a:extLst>
        </xdr:cNvPr>
        <xdr:cNvSpPr/>
      </xdr:nvSpPr>
      <xdr:spPr>
        <a:xfrm>
          <a:off x="3733800" y="965200"/>
          <a:ext cx="2357120" cy="311785"/>
        </a:xfrm>
        <a:prstGeom prst="roundRect">
          <a:avLst/>
        </a:prstGeom>
        <a:solidFill>
          <a:srgbClr val="C0504D"/>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lang="en-IN" sz="1200" b="1">
              <a:solidFill>
                <a:schemeClr val="bg1"/>
              </a:solidFill>
            </a:rPr>
            <a:t>SWP - PORTFOLIO COMPARISON</a:t>
          </a:r>
        </a:p>
      </xdr:txBody>
    </xdr:sp>
    <xdr:clientData fPrintsWithSheet="0"/>
  </xdr:twoCellAnchor>
</xdr:wsDr>
</file>

<file path=xl/drawings/drawing8.xml><?xml version="1.0" encoding="utf-8"?>
<xdr:wsDr xmlns:xdr="http://schemas.openxmlformats.org/drawingml/2006/spreadsheetDrawing" xmlns:a="http://schemas.openxmlformats.org/drawingml/2006/main">
  <xdr:twoCellAnchor editAs="oneCell">
    <xdr:from>
      <xdr:col>11</xdr:col>
      <xdr:colOff>543975</xdr:colOff>
      <xdr:row>5</xdr:row>
      <xdr:rowOff>118533</xdr:rowOff>
    </xdr:from>
    <xdr:to>
      <xdr:col>13</xdr:col>
      <xdr:colOff>216574</xdr:colOff>
      <xdr:row>6</xdr:row>
      <xdr:rowOff>218017</xdr:rowOff>
    </xdr:to>
    <xdr:pic>
      <xdr:nvPicPr>
        <xdr:cNvPr id="4" name="Picture 3">
          <a:hlinkClick xmlns:r="http://schemas.openxmlformats.org/officeDocument/2006/relationships" r:id="rId1"/>
          <a:extLst>
            <a:ext uri="{FF2B5EF4-FFF2-40B4-BE49-F238E27FC236}">
              <a16:creationId xmlns:a16="http://schemas.microsoft.com/office/drawing/2014/main" id="{00000000-0008-0000-0700-000004000000}"/>
            </a:ext>
          </a:extLst>
        </xdr:cNvPr>
        <xdr:cNvPicPr>
          <a:picLocks noChangeAspect="1" noChangeArrowheads="1"/>
        </xdr:cNvPicPr>
      </xdr:nvPicPr>
      <xdr:blipFill>
        <a:blip xmlns:r="http://schemas.openxmlformats.org/officeDocument/2006/relationships" r:embed="rId2"/>
        <a:srcRect/>
        <a:stretch>
          <a:fillRect/>
        </a:stretch>
      </xdr:blipFill>
      <xdr:spPr>
        <a:xfrm>
          <a:off x="8163560" y="1272540"/>
          <a:ext cx="1136015" cy="328295"/>
        </a:xfrm>
        <a:prstGeom prst="roundRect">
          <a:avLst>
            <a:gd name="adj" fmla="val 4167"/>
          </a:avLst>
        </a:prstGeom>
        <a:solidFill>
          <a:srgbClr val="FFFFFF"/>
        </a:solidFill>
        <a:ln w="76200" cap="sq">
          <a:solidFill>
            <a:srgbClr val="292929"/>
          </a:solidFill>
          <a:miter lim="800000"/>
          <a:headEnd/>
          <a:tailEnd/>
        </a:ln>
        <a:effectLst>
          <a:reflection blurRad="12700" stA="28000" endPos="28000" dist="5000" dir="5400000" sy="-100000" algn="bl" rotWithShape="0"/>
        </a:effectLst>
        <a:scene3d>
          <a:camera prst="orthographicFront"/>
          <a:lightRig rig="threePt" dir="t">
            <a:rot lat="0" lon="0" rev="2700000"/>
          </a:lightRig>
        </a:scene3d>
        <a:sp3d>
          <a:bevelT h="38100"/>
          <a:contourClr>
            <a:srgbClr val="C0C0C0"/>
          </a:contourClr>
        </a:sp3d>
      </xdr:spPr>
    </xdr:pic>
    <xdr:clientData fPrintsWithSheet="0"/>
  </xdr:twoCellAnchor>
  <xdr:twoCellAnchor>
    <xdr:from>
      <xdr:col>8</xdr:col>
      <xdr:colOff>438150</xdr:colOff>
      <xdr:row>8</xdr:row>
      <xdr:rowOff>47625</xdr:rowOff>
    </xdr:from>
    <xdr:to>
      <xdr:col>13</xdr:col>
      <xdr:colOff>260350</xdr:colOff>
      <xdr:row>15</xdr:row>
      <xdr:rowOff>215900</xdr:rowOff>
    </xdr:to>
    <xdr:sp macro="" textlink="">
      <xdr:nvSpPr>
        <xdr:cNvPr id="3" name="TextBox 2">
          <a:extLst>
            <a:ext uri="{FF2B5EF4-FFF2-40B4-BE49-F238E27FC236}">
              <a16:creationId xmlns:a16="http://schemas.microsoft.com/office/drawing/2014/main" id="{00000000-0008-0000-0700-000003000000}"/>
            </a:ext>
          </a:extLst>
        </xdr:cNvPr>
        <xdr:cNvSpPr txBox="1"/>
      </xdr:nvSpPr>
      <xdr:spPr>
        <a:xfrm>
          <a:off x="6595110" y="1887855"/>
          <a:ext cx="2748280" cy="1768475"/>
        </a:xfrm>
        <a:prstGeom prst="rect">
          <a:avLst/>
        </a:prstGeom>
        <a:solidFill>
          <a:schemeClr val="lt1"/>
        </a:solidFill>
        <a:ln w="9525" cmpd="sng">
          <a:solidFill>
            <a:srgbClr val="C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tIns="0" rtlCol="0" anchor="t"/>
        <a:lstStyle/>
        <a:p>
          <a:pPr algn="ctr"/>
          <a:r>
            <a:rPr lang="en-US" sz="2400" b="1">
              <a:solidFill>
                <a:srgbClr val="C00000"/>
              </a:solidFill>
            </a:rPr>
            <a:t>Regular Income Generation through SWP</a:t>
          </a:r>
        </a:p>
        <a:p>
          <a:pPr algn="ctr"/>
          <a:r>
            <a:rPr lang="en-US" sz="2400" b="1" u="sng">
              <a:solidFill>
                <a:sysClr val="windowText" lastClr="000000"/>
              </a:solidFill>
            </a:rPr>
            <a:t>Portfolio Comparison</a:t>
          </a:r>
        </a:p>
      </xdr:txBody>
    </xdr:sp>
    <xdr:clientData/>
  </xdr:twoCellAnchor>
  <xdr:twoCellAnchor editAs="oneCell">
    <xdr:from>
      <xdr:col>10</xdr:col>
      <xdr:colOff>95250</xdr:colOff>
      <xdr:row>0</xdr:row>
      <xdr:rowOff>190500</xdr:rowOff>
    </xdr:from>
    <xdr:to>
      <xdr:col>12</xdr:col>
      <xdr:colOff>541338</xdr:colOff>
      <xdr:row>4</xdr:row>
      <xdr:rowOff>87312</xdr:rowOff>
    </xdr:to>
    <xdr:pic>
      <xdr:nvPicPr>
        <xdr:cNvPr id="5" name="Picture 24" descr="Prudent emPower logo txt">
          <a:extLst>
            <a:ext uri="{FF2B5EF4-FFF2-40B4-BE49-F238E27FC236}">
              <a16:creationId xmlns:a16="http://schemas.microsoft.com/office/drawing/2014/main" id="{00000000-0008-0000-0700-000005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a:xfrm>
          <a:off x="6983730" y="190500"/>
          <a:ext cx="1908810" cy="822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440280</xdr:colOff>
      <xdr:row>5</xdr:row>
      <xdr:rowOff>93134</xdr:rowOff>
    </xdr:from>
    <xdr:to>
      <xdr:col>10</xdr:col>
      <xdr:colOff>491079</xdr:colOff>
      <xdr:row>7</xdr:row>
      <xdr:rowOff>207887</xdr:rowOff>
    </xdr:to>
    <xdr:pic>
      <xdr:nvPicPr>
        <xdr:cNvPr id="6" name="Picture 5">
          <a:hlinkClick xmlns:r="http://schemas.openxmlformats.org/officeDocument/2006/relationships" r:id="rId4"/>
          <a:extLst>
            <a:ext uri="{FF2B5EF4-FFF2-40B4-BE49-F238E27FC236}">
              <a16:creationId xmlns:a16="http://schemas.microsoft.com/office/drawing/2014/main" id="{00000000-0008-0000-0700-00000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6597015" y="1247140"/>
          <a:ext cx="782320" cy="57213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3</xdr:col>
      <xdr:colOff>152400</xdr:colOff>
      <xdr:row>4</xdr:row>
      <xdr:rowOff>25399</xdr:rowOff>
    </xdr:from>
    <xdr:to>
      <xdr:col>8</xdr:col>
      <xdr:colOff>485775</xdr:colOff>
      <xdr:row>21</xdr:row>
      <xdr:rowOff>104774</xdr:rowOff>
    </xdr:to>
    <xdr:graphicFrame macro="">
      <xdr:nvGraphicFramePr>
        <xdr:cNvPr id="3" name="Chart 2">
          <a:extLst>
            <a:ext uri="{FF2B5EF4-FFF2-40B4-BE49-F238E27FC236}">
              <a16:creationId xmlns:a16="http://schemas.microsoft.com/office/drawing/2014/main" id="{00000000-0008-0000-08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2085975</xdr:colOff>
      <xdr:row>16</xdr:row>
      <xdr:rowOff>152400</xdr:rowOff>
    </xdr:from>
    <xdr:to>
      <xdr:col>3</xdr:col>
      <xdr:colOff>9525</xdr:colOff>
      <xdr:row>21</xdr:row>
      <xdr:rowOff>104775</xdr:rowOff>
    </xdr:to>
    <xdr:sp macro="" textlink="">
      <xdr:nvSpPr>
        <xdr:cNvPr id="4" name="TextBox 3">
          <a:extLst>
            <a:ext uri="{FF2B5EF4-FFF2-40B4-BE49-F238E27FC236}">
              <a16:creationId xmlns:a16="http://schemas.microsoft.com/office/drawing/2014/main" id="{00000000-0008-0000-0800-000004000000}"/>
            </a:ext>
          </a:extLst>
        </xdr:cNvPr>
        <xdr:cNvSpPr txBox="1"/>
      </xdr:nvSpPr>
      <xdr:spPr>
        <a:xfrm>
          <a:off x="2718435" y="3495675"/>
          <a:ext cx="3691890" cy="97155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600" b="1"/>
            <a:t>Keep your </a:t>
          </a:r>
          <a:r>
            <a:rPr lang="en-US" sz="1600" b="1">
              <a:solidFill>
                <a:srgbClr val="00B050"/>
              </a:solidFill>
            </a:rPr>
            <a:t>capital safe</a:t>
          </a:r>
          <a:r>
            <a:rPr lang="en-US" sz="1600" b="1"/>
            <a:t> and move only the appreciation amount every month to equity fund</a:t>
          </a:r>
          <a:r>
            <a:rPr lang="en-US" sz="1600" b="1" baseline="0"/>
            <a:t> through </a:t>
          </a:r>
          <a:r>
            <a:rPr lang="en-US" sz="1600" b="1" baseline="0">
              <a:solidFill>
                <a:srgbClr val="00B050"/>
              </a:solidFill>
            </a:rPr>
            <a:t>STP</a:t>
          </a:r>
          <a:endParaRPr lang="en-US" sz="1600" b="1">
            <a:solidFill>
              <a:srgbClr val="00B050"/>
            </a:solidFill>
          </a:endParaRPr>
        </a:p>
      </xdr:txBody>
    </xdr:sp>
    <xdr:clientData/>
  </xdr:twoCellAnchor>
  <xdr:twoCellAnchor editAs="oneCell">
    <xdr:from>
      <xdr:col>4</xdr:col>
      <xdr:colOff>558800</xdr:colOff>
      <xdr:row>0</xdr:row>
      <xdr:rowOff>200025</xdr:rowOff>
    </xdr:from>
    <xdr:to>
      <xdr:col>7</xdr:col>
      <xdr:colOff>130175</xdr:colOff>
      <xdr:row>2</xdr:row>
      <xdr:rowOff>187325</xdr:rowOff>
    </xdr:to>
    <xdr:pic>
      <xdr:nvPicPr>
        <xdr:cNvPr id="5" name="Picture 4">
          <a:hlinkClick xmlns:r="http://schemas.openxmlformats.org/officeDocument/2006/relationships" r:id="rId2"/>
          <a:extLst>
            <a:ext uri="{FF2B5EF4-FFF2-40B4-BE49-F238E27FC236}">
              <a16:creationId xmlns:a16="http://schemas.microsoft.com/office/drawing/2014/main" id="{00000000-0008-0000-0800-000005000000}"/>
            </a:ext>
          </a:extLst>
        </xdr:cNvPr>
        <xdr:cNvPicPr>
          <a:picLocks noChangeAspect="1" noChangeArrowheads="1"/>
        </xdr:cNvPicPr>
      </xdr:nvPicPr>
      <xdr:blipFill>
        <a:blip xmlns:r="http://schemas.openxmlformats.org/officeDocument/2006/relationships" r:embed="rId3"/>
        <a:srcRect/>
        <a:stretch>
          <a:fillRect/>
        </a:stretch>
      </xdr:blipFill>
      <xdr:spPr>
        <a:xfrm>
          <a:off x="7592060" y="200025"/>
          <a:ext cx="1560195" cy="476885"/>
        </a:xfrm>
        <a:prstGeom prst="roundRect">
          <a:avLst>
            <a:gd name="adj" fmla="val 4167"/>
          </a:avLst>
        </a:prstGeom>
        <a:solidFill>
          <a:srgbClr val="FFFFFF"/>
        </a:solidFill>
        <a:ln w="76200" cap="sq">
          <a:solidFill>
            <a:srgbClr val="292929"/>
          </a:solidFill>
          <a:miter lim="800000"/>
          <a:headEnd/>
          <a:tailEnd/>
        </a:ln>
        <a:effectLst>
          <a:reflection blurRad="12700" stA="28000" endPos="28000" dist="5000" dir="5400000" sy="-100000" algn="bl" rotWithShape="0"/>
        </a:effectLst>
        <a:scene3d>
          <a:camera prst="orthographicFront"/>
          <a:lightRig rig="threePt" dir="t">
            <a:rot lat="0" lon="0" rev="2700000"/>
          </a:lightRig>
        </a:scene3d>
        <a:sp3d>
          <a:bevelT h="38100"/>
          <a:contourClr>
            <a:srgbClr val="C0C0C0"/>
          </a:contourClr>
        </a:sp3d>
      </xdr:spPr>
    </xdr:pic>
    <xdr:clientData fPrintsWithSheet="0"/>
  </xdr:twoCellAnchor>
  <xdr:twoCellAnchor editAs="oneCell">
    <xdr:from>
      <xdr:col>1</xdr:col>
      <xdr:colOff>0</xdr:colOff>
      <xdr:row>16</xdr:row>
      <xdr:rowOff>146050</xdr:rowOff>
    </xdr:from>
    <xdr:to>
      <xdr:col>1</xdr:col>
      <xdr:colOff>1944688</xdr:colOff>
      <xdr:row>20</xdr:row>
      <xdr:rowOff>157162</xdr:rowOff>
    </xdr:to>
    <xdr:pic>
      <xdr:nvPicPr>
        <xdr:cNvPr id="6" name="Picture 24" descr="Prudent emPower logo txt">
          <a:extLst>
            <a:ext uri="{FF2B5EF4-FFF2-40B4-BE49-F238E27FC236}">
              <a16:creationId xmlns:a16="http://schemas.microsoft.com/office/drawing/2014/main" id="{00000000-0008-0000-0800-000006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a:xfrm>
          <a:off x="632460" y="3489325"/>
          <a:ext cx="1944370" cy="8261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CII" displayName="CII" ref="M2:O22" totalsRowShown="0">
  <autoFilter ref="M2:O22" xr:uid="{00000000-0009-0000-0100-000001000000}"/>
  <tableColumns count="3">
    <tableColumn id="1" xr3:uid="{00000000-0010-0000-0000-000001000000}" name="YEAR" dataDxfId="55"/>
    <tableColumn id="2" xr3:uid="{00000000-0010-0000-0000-000002000000}" name="CII" dataDxfId="54"/>
    <tableColumn id="3" xr3:uid="{00000000-0010-0000-0000-000003000000}" name="YEARS" dataDxfId="53">
      <calculatedColumnFormula>IF(ISNUMBER(O2),O2+1,0+1)</calculatedColumnFormula>
    </tableColumn>
  </tableColumns>
  <tableStyleInfo name="TableStyleMedium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P33"/>
  <sheetViews>
    <sheetView tabSelected="1" zoomScale="80" zoomScaleNormal="80" workbookViewId="0"/>
  </sheetViews>
  <sheetFormatPr defaultColWidth="0" defaultRowHeight="13.2" zeroHeight="1"/>
  <cols>
    <col min="1" max="15" width="9.21875" style="766" customWidth="1"/>
    <col min="16" max="16" width="7.6640625" style="766" customWidth="1"/>
    <col min="17" max="16384" width="0" style="766" hidden="1"/>
  </cols>
  <sheetData>
    <row r="1" spans="1:16">
      <c r="A1" s="767" t="s">
        <v>0</v>
      </c>
      <c r="B1" s="767"/>
      <c r="C1" s="767"/>
      <c r="D1" s="767"/>
      <c r="E1" s="767"/>
      <c r="F1" s="767"/>
      <c r="G1" s="767"/>
      <c r="H1" s="767"/>
      <c r="I1" s="767"/>
      <c r="J1" s="767"/>
      <c r="K1" s="767"/>
      <c r="L1" s="767"/>
      <c r="M1" s="767"/>
      <c r="N1" s="767"/>
      <c r="O1" s="767"/>
      <c r="P1" s="767"/>
    </row>
    <row r="2" spans="1:16">
      <c r="A2" s="767"/>
      <c r="B2" s="767"/>
      <c r="C2" s="767"/>
      <c r="D2" s="767"/>
      <c r="E2" s="767"/>
      <c r="F2" s="767"/>
      <c r="G2" s="767"/>
      <c r="H2" s="767"/>
      <c r="I2" s="767"/>
      <c r="J2" s="767"/>
      <c r="K2" s="767"/>
      <c r="L2" s="767"/>
      <c r="M2" s="767"/>
      <c r="N2" s="767"/>
      <c r="O2" s="767"/>
      <c r="P2" s="767"/>
    </row>
    <row r="3" spans="1:16">
      <c r="A3" s="767"/>
      <c r="B3" s="767"/>
      <c r="C3" s="767"/>
      <c r="D3" s="767"/>
      <c r="E3" s="767"/>
      <c r="F3" s="767"/>
      <c r="G3" s="767"/>
      <c r="H3" s="767"/>
      <c r="I3" s="767"/>
      <c r="J3" s="767"/>
      <c r="K3" s="767"/>
      <c r="L3" s="767"/>
      <c r="M3" s="767"/>
      <c r="N3" s="767"/>
      <c r="O3" s="767"/>
      <c r="P3" s="767"/>
    </row>
    <row r="4" spans="1:16">
      <c r="A4" s="767"/>
      <c r="B4" s="767"/>
      <c r="C4" s="767"/>
      <c r="D4" s="767"/>
      <c r="E4" s="767"/>
      <c r="F4" s="767"/>
      <c r="G4" s="767"/>
      <c r="H4" s="767"/>
      <c r="I4" s="767"/>
      <c r="J4" s="767"/>
      <c r="K4" s="767"/>
      <c r="L4" s="767"/>
      <c r="M4" s="767"/>
      <c r="N4" s="767"/>
      <c r="O4" s="767"/>
      <c r="P4" s="767"/>
    </row>
    <row r="5" spans="1:16">
      <c r="A5" s="767"/>
      <c r="B5" s="767"/>
      <c r="C5" s="767"/>
      <c r="D5" s="767"/>
      <c r="E5" s="767"/>
      <c r="F5" s="767"/>
      <c r="G5" s="767"/>
      <c r="H5" s="767"/>
      <c r="I5" s="767"/>
      <c r="J5" s="767"/>
      <c r="K5" s="767"/>
      <c r="L5" s="767"/>
      <c r="M5" s="767"/>
      <c r="N5" s="767"/>
      <c r="O5" s="767"/>
      <c r="P5" s="767"/>
    </row>
    <row r="6" spans="1:16">
      <c r="A6" s="767"/>
      <c r="B6" s="767"/>
      <c r="C6" s="767"/>
      <c r="D6" s="767"/>
      <c r="E6" s="767"/>
      <c r="F6" s="767"/>
      <c r="G6" s="767"/>
      <c r="H6" s="767"/>
      <c r="I6" s="767"/>
      <c r="J6" s="767"/>
      <c r="K6" s="767"/>
      <c r="L6" s="767"/>
      <c r="M6" s="767"/>
      <c r="N6" s="767"/>
      <c r="O6" s="767"/>
      <c r="P6" s="767"/>
    </row>
    <row r="7" spans="1:16">
      <c r="A7" s="767"/>
      <c r="B7" s="767"/>
      <c r="C7" s="767"/>
      <c r="D7" s="767"/>
      <c r="E7" s="767"/>
      <c r="F7" s="767"/>
      <c r="G7" s="767"/>
      <c r="H7" s="767"/>
      <c r="I7" s="767"/>
      <c r="J7" s="767"/>
      <c r="K7" s="767"/>
      <c r="L7" s="767"/>
      <c r="M7" s="767"/>
      <c r="N7" s="767"/>
      <c r="O7" s="767"/>
      <c r="P7" s="767"/>
    </row>
    <row r="8" spans="1:16">
      <c r="A8" s="767"/>
      <c r="B8" s="767"/>
      <c r="C8" s="767"/>
      <c r="D8" s="767"/>
      <c r="E8" s="767"/>
      <c r="F8" s="767"/>
      <c r="G8" s="767"/>
      <c r="H8" s="767"/>
      <c r="I8" s="767"/>
      <c r="J8" s="767"/>
      <c r="K8" s="767"/>
      <c r="L8" s="767"/>
      <c r="M8" s="767"/>
      <c r="N8" s="767"/>
      <c r="O8" s="767"/>
      <c r="P8" s="767"/>
    </row>
    <row r="9" spans="1:16">
      <c r="A9" s="767"/>
      <c r="B9" s="767"/>
      <c r="C9" s="767"/>
      <c r="D9" s="767"/>
      <c r="E9" s="767"/>
      <c r="F9" s="767"/>
      <c r="G9" s="767"/>
      <c r="H9" s="767"/>
      <c r="I9" s="767"/>
      <c r="J9" s="767"/>
      <c r="K9" s="767"/>
      <c r="L9" s="767"/>
      <c r="M9" s="767"/>
      <c r="N9" s="767"/>
      <c r="O9" s="767"/>
      <c r="P9" s="767"/>
    </row>
    <row r="10" spans="1:16">
      <c r="A10" s="767"/>
      <c r="B10" s="767"/>
      <c r="C10" s="767"/>
      <c r="D10" s="767"/>
      <c r="E10" s="767"/>
      <c r="F10" s="767"/>
      <c r="G10" s="767"/>
      <c r="H10" s="767"/>
      <c r="I10" s="767"/>
      <c r="J10" s="767"/>
      <c r="K10" s="767"/>
      <c r="L10" s="767"/>
      <c r="M10" s="767"/>
      <c r="N10" s="767"/>
      <c r="O10" s="767"/>
      <c r="P10" s="767"/>
    </row>
    <row r="11" spans="1:16">
      <c r="A11" s="767"/>
      <c r="B11" s="767"/>
      <c r="C11" s="767"/>
      <c r="D11" s="767"/>
      <c r="E11" s="767"/>
      <c r="F11" s="767"/>
      <c r="G11" s="767"/>
      <c r="H11" s="767"/>
      <c r="I11" s="767"/>
      <c r="J11" s="767"/>
      <c r="K11" s="767"/>
      <c r="L11" s="767"/>
      <c r="M11" s="767"/>
      <c r="N11" s="767"/>
      <c r="O11" s="767"/>
      <c r="P11" s="767"/>
    </row>
    <row r="12" spans="1:16">
      <c r="A12" s="767"/>
      <c r="B12" s="767"/>
      <c r="C12" s="767"/>
      <c r="D12" s="767"/>
      <c r="E12" s="767"/>
      <c r="F12" s="767"/>
      <c r="G12" s="767"/>
      <c r="H12" s="767"/>
      <c r="I12" s="767"/>
      <c r="J12" s="767"/>
      <c r="K12" s="767"/>
      <c r="L12" s="767"/>
      <c r="M12" s="767"/>
      <c r="N12" s="767"/>
      <c r="O12" s="767"/>
      <c r="P12" s="767"/>
    </row>
    <row r="13" spans="1:16">
      <c r="A13" s="767"/>
      <c r="B13" s="767"/>
      <c r="C13" s="767"/>
      <c r="D13" s="767"/>
      <c r="E13" s="767"/>
      <c r="F13" s="767"/>
      <c r="G13" s="767"/>
      <c r="H13" s="767"/>
      <c r="I13" s="767"/>
      <c r="J13" s="767"/>
      <c r="K13" s="767"/>
      <c r="L13" s="767"/>
      <c r="M13" s="767"/>
      <c r="N13" s="767"/>
      <c r="O13" s="767"/>
      <c r="P13" s="767"/>
    </row>
    <row r="14" spans="1:16">
      <c r="A14" s="767"/>
      <c r="B14" s="767"/>
      <c r="C14" s="767"/>
      <c r="D14" s="767"/>
      <c r="E14" s="767"/>
      <c r="F14" s="767"/>
      <c r="G14" s="767"/>
      <c r="H14" s="767"/>
      <c r="I14" s="767"/>
      <c r="J14" s="767"/>
      <c r="K14" s="767"/>
      <c r="L14" s="767"/>
      <c r="M14" s="767"/>
      <c r="N14" s="767"/>
      <c r="O14" s="767"/>
      <c r="P14" s="770"/>
    </row>
    <row r="15" spans="1:16">
      <c r="A15" s="767"/>
      <c r="B15" s="767"/>
      <c r="C15" s="767"/>
      <c r="D15" s="767"/>
      <c r="E15" s="767"/>
      <c r="F15" s="767"/>
      <c r="G15" s="767"/>
      <c r="H15" s="767"/>
      <c r="I15" s="767"/>
      <c r="J15" s="767"/>
      <c r="K15" s="767"/>
      <c r="L15" s="767"/>
      <c r="M15" s="767"/>
      <c r="N15" s="767"/>
      <c r="O15" s="767"/>
      <c r="P15" s="767"/>
    </row>
    <row r="16" spans="1:16">
      <c r="A16" s="767"/>
      <c r="B16" s="767"/>
      <c r="C16" s="767"/>
      <c r="D16" s="767"/>
      <c r="E16" s="767"/>
      <c r="F16" s="767"/>
      <c r="G16" s="767"/>
      <c r="H16" s="767"/>
      <c r="I16" s="767"/>
      <c r="J16" s="767"/>
      <c r="K16" s="767"/>
      <c r="L16" s="767"/>
      <c r="M16" s="767"/>
      <c r="N16" s="767"/>
      <c r="O16" s="767"/>
      <c r="P16" s="767"/>
    </row>
    <row r="17" spans="1:16">
      <c r="A17" s="767"/>
      <c r="B17" s="767"/>
      <c r="C17" s="767"/>
      <c r="D17" s="767"/>
      <c r="E17" s="767"/>
      <c r="F17" s="767"/>
      <c r="G17" s="767"/>
      <c r="H17" s="767"/>
      <c r="I17" s="767"/>
      <c r="J17" s="767"/>
      <c r="K17" s="767"/>
      <c r="L17" s="767"/>
      <c r="M17" s="767"/>
      <c r="N17" s="767"/>
      <c r="O17" s="767"/>
      <c r="P17" s="767"/>
    </row>
    <row r="18" spans="1:16">
      <c r="A18" s="767"/>
      <c r="B18" s="767"/>
      <c r="C18" s="767"/>
      <c r="D18" s="767"/>
      <c r="E18" s="767"/>
      <c r="F18" s="767"/>
      <c r="G18" s="767"/>
      <c r="H18" s="767"/>
      <c r="I18" s="767"/>
      <c r="J18" s="767"/>
      <c r="K18" s="767"/>
      <c r="L18" s="767"/>
      <c r="M18" s="767"/>
      <c r="N18" s="767"/>
      <c r="O18" s="767"/>
      <c r="P18" s="767"/>
    </row>
    <row r="19" spans="1:16">
      <c r="A19" s="767"/>
      <c r="B19" s="767"/>
      <c r="C19" s="767"/>
      <c r="D19" s="767"/>
      <c r="E19" s="767"/>
      <c r="F19" s="767"/>
      <c r="G19" s="767"/>
      <c r="H19" s="767"/>
      <c r="I19" s="767"/>
      <c r="J19" s="767"/>
      <c r="K19" s="767"/>
      <c r="L19" s="767"/>
      <c r="M19" s="767"/>
      <c r="N19" s="767"/>
      <c r="O19" s="767"/>
      <c r="P19" s="767"/>
    </row>
    <row r="20" spans="1:16">
      <c r="A20" s="767"/>
      <c r="B20" s="767"/>
      <c r="C20" s="767"/>
      <c r="D20" s="767"/>
      <c r="E20" s="767"/>
      <c r="F20" s="767"/>
      <c r="G20" s="767"/>
      <c r="H20" s="767"/>
      <c r="I20" s="767"/>
      <c r="J20" s="767"/>
      <c r="K20" s="767"/>
      <c r="L20" s="767"/>
      <c r="M20" s="767"/>
      <c r="N20" s="767"/>
      <c r="O20" s="767"/>
      <c r="P20" s="767"/>
    </row>
    <row r="21" spans="1:16">
      <c r="A21" s="767"/>
      <c r="B21" s="767"/>
      <c r="C21" s="767"/>
      <c r="D21" s="767"/>
      <c r="E21" s="767"/>
      <c r="F21" s="767"/>
      <c r="G21" s="767"/>
      <c r="H21" s="767"/>
      <c r="I21" s="767"/>
      <c r="J21" s="767"/>
      <c r="K21" s="767"/>
      <c r="L21" s="767"/>
      <c r="M21" s="767"/>
      <c r="N21" s="767"/>
      <c r="O21" s="767"/>
      <c r="P21" s="767"/>
    </row>
    <row r="22" spans="1:16">
      <c r="A22" s="767"/>
      <c r="B22" s="767"/>
      <c r="C22" s="767"/>
      <c r="D22" s="767"/>
      <c r="E22" s="767"/>
      <c r="F22" s="767"/>
      <c r="G22" s="767"/>
      <c r="H22" s="767"/>
      <c r="I22" s="767"/>
      <c r="J22" s="767"/>
      <c r="K22" s="767"/>
      <c r="L22" s="767"/>
      <c r="M22" s="767"/>
      <c r="N22" s="767"/>
      <c r="O22" s="767"/>
      <c r="P22" s="767"/>
    </row>
    <row r="23" spans="1:16">
      <c r="A23" s="767"/>
      <c r="B23" s="767"/>
      <c r="C23" s="767"/>
      <c r="D23" s="767"/>
      <c r="E23" s="767"/>
      <c r="F23" s="767"/>
      <c r="G23" s="767"/>
      <c r="H23" s="767"/>
      <c r="I23" s="767"/>
      <c r="J23" s="767"/>
      <c r="K23" s="767"/>
      <c r="L23" s="767"/>
      <c r="M23" s="767"/>
      <c r="N23" s="767"/>
      <c r="O23" s="767"/>
      <c r="P23" s="767"/>
    </row>
    <row r="24" spans="1:16">
      <c r="A24" s="767"/>
      <c r="B24" s="767"/>
      <c r="C24" s="767"/>
      <c r="D24" s="767"/>
      <c r="E24" s="767"/>
      <c r="F24" s="767"/>
      <c r="G24" s="767"/>
      <c r="H24" s="767"/>
      <c r="I24" s="767"/>
      <c r="J24" s="767"/>
      <c r="K24" s="767"/>
      <c r="L24" s="767"/>
      <c r="M24" s="767"/>
      <c r="N24" s="767"/>
      <c r="O24" s="767"/>
      <c r="P24" s="767"/>
    </row>
    <row r="25" spans="1:16">
      <c r="A25" s="767"/>
      <c r="B25" s="767"/>
      <c r="C25" s="767"/>
      <c r="D25" s="767"/>
      <c r="E25" s="767"/>
      <c r="F25" s="767"/>
      <c r="G25" s="767"/>
      <c r="H25" s="767"/>
      <c r="I25" s="767"/>
      <c r="J25" s="767"/>
      <c r="K25" s="767"/>
      <c r="L25" s="767"/>
      <c r="M25" s="767"/>
      <c r="N25" s="767"/>
      <c r="O25" s="767"/>
      <c r="P25" s="767"/>
    </row>
    <row r="26" spans="1:16">
      <c r="A26" s="767"/>
      <c r="B26" s="767"/>
      <c r="C26" s="767"/>
      <c r="D26" s="767"/>
      <c r="E26" s="767"/>
      <c r="F26" s="767"/>
      <c r="G26" s="767"/>
      <c r="H26" s="767"/>
      <c r="I26" s="767"/>
      <c r="J26" s="767"/>
      <c r="K26" s="767"/>
      <c r="L26" s="767"/>
      <c r="M26" s="767"/>
      <c r="N26" s="767"/>
      <c r="O26" s="767"/>
      <c r="P26" s="767"/>
    </row>
    <row r="27" spans="1:16">
      <c r="A27" s="767"/>
      <c r="B27" s="767"/>
      <c r="C27" s="767"/>
      <c r="D27" s="767"/>
      <c r="E27" s="767"/>
      <c r="F27" s="767"/>
      <c r="G27" s="767"/>
      <c r="H27" s="767"/>
      <c r="I27" s="767"/>
      <c r="J27" s="767"/>
      <c r="K27" s="767"/>
      <c r="L27" s="767"/>
      <c r="M27" s="767"/>
      <c r="N27" s="767"/>
      <c r="O27" s="767"/>
      <c r="P27" s="767"/>
    </row>
    <row r="28" spans="1:16">
      <c r="A28" s="767"/>
      <c r="B28" s="767"/>
      <c r="C28" s="767"/>
      <c r="D28" s="767"/>
      <c r="E28" s="767"/>
      <c r="F28" s="767"/>
      <c r="G28" s="767"/>
      <c r="H28" s="767"/>
      <c r="I28" s="767"/>
      <c r="J28" s="767"/>
      <c r="K28" s="767"/>
      <c r="L28" s="767"/>
      <c r="M28" s="767"/>
      <c r="N28" s="767"/>
      <c r="O28" s="767"/>
      <c r="P28" s="767"/>
    </row>
    <row r="29" spans="1:16" ht="11.7" customHeight="1">
      <c r="A29" s="767"/>
      <c r="B29" s="767"/>
      <c r="C29" s="767"/>
      <c r="D29" s="767"/>
      <c r="E29" s="767"/>
      <c r="F29" s="767"/>
      <c r="G29" s="767"/>
      <c r="H29" s="767"/>
      <c r="I29" s="767"/>
      <c r="J29" s="767"/>
      <c r="K29" s="767"/>
      <c r="L29" s="767"/>
      <c r="M29" s="767"/>
      <c r="N29" s="767"/>
      <c r="O29" s="767"/>
      <c r="P29" s="767"/>
    </row>
    <row r="30" spans="1:16" ht="10.050000000000001" hidden="1" customHeight="1">
      <c r="A30" s="768"/>
      <c r="B30" s="768"/>
      <c r="C30" s="768"/>
      <c r="D30" s="768"/>
      <c r="E30" s="768"/>
      <c r="F30" s="768"/>
      <c r="G30" s="768"/>
      <c r="H30" s="768"/>
      <c r="I30" s="768"/>
      <c r="J30" s="768"/>
      <c r="K30" s="768"/>
      <c r="L30" s="768"/>
      <c r="M30" s="768"/>
      <c r="N30" s="768"/>
      <c r="O30" s="768"/>
      <c r="P30" s="768"/>
    </row>
    <row r="31" spans="1:16">
      <c r="A31" s="767"/>
      <c r="B31" s="767"/>
      <c r="C31" s="767"/>
      <c r="D31" s="767"/>
      <c r="E31" s="767"/>
      <c r="F31" s="767"/>
      <c r="G31" s="767"/>
      <c r="H31" s="767"/>
      <c r="I31" s="767"/>
      <c r="J31" s="767"/>
      <c r="K31" s="767"/>
      <c r="L31" s="767"/>
      <c r="M31" s="767"/>
      <c r="N31" s="767"/>
      <c r="O31" s="767"/>
      <c r="P31" s="767"/>
    </row>
    <row r="32" spans="1:16">
      <c r="A32" s="767"/>
      <c r="B32" s="767"/>
      <c r="C32" s="767"/>
      <c r="D32" s="767"/>
      <c r="E32" s="767"/>
      <c r="F32" s="767"/>
      <c r="G32" s="767"/>
      <c r="H32" s="767"/>
      <c r="I32" s="767"/>
      <c r="J32" s="767"/>
      <c r="K32" s="767"/>
      <c r="L32" s="767"/>
      <c r="M32" s="767"/>
      <c r="N32" s="767"/>
      <c r="O32" s="767"/>
      <c r="P32" s="767"/>
    </row>
    <row r="33" spans="1:16" ht="39.75" customHeight="1">
      <c r="A33" s="767"/>
      <c r="B33" s="767"/>
      <c r="C33" s="767"/>
      <c r="D33" s="767"/>
      <c r="E33" s="767"/>
      <c r="F33" s="769"/>
      <c r="G33" s="772"/>
      <c r="H33" s="772"/>
      <c r="I33" s="772"/>
      <c r="J33" s="767"/>
      <c r="K33" s="767"/>
      <c r="L33" s="767"/>
      <c r="M33" s="767"/>
      <c r="N33" s="767"/>
      <c r="O33" s="767"/>
      <c r="P33" s="767"/>
    </row>
  </sheetData>
  <sheetProtection password="F3D2" sheet="1" objects="1"/>
  <mergeCells count="1">
    <mergeCell ref="G33:I33"/>
  </mergeCell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XFC302"/>
  <sheetViews>
    <sheetView showGridLines="0" workbookViewId="0">
      <selection activeCell="C4" sqref="C4"/>
    </sheetView>
  </sheetViews>
  <sheetFormatPr defaultColWidth="0" defaultRowHeight="14.4" zeroHeight="1"/>
  <cols>
    <col min="1" max="1" width="9.21875" style="428" customWidth="1"/>
    <col min="2" max="2" width="26.33203125" style="428" customWidth="1"/>
    <col min="3" max="3" width="16.44140625" style="428" customWidth="1"/>
    <col min="4" max="4" width="15.44140625" style="428" customWidth="1"/>
    <col min="5" max="5" width="34.77734375" style="428" customWidth="1"/>
    <col min="6" max="6" width="16.44140625" style="428" customWidth="1"/>
    <col min="7" max="7" width="9.21875" style="428" customWidth="1"/>
    <col min="8" max="8" width="2" style="428" customWidth="1"/>
    <col min="9" max="12" width="8.44140625" style="428" hidden="1" customWidth="1"/>
    <col min="13" max="13" width="14" style="428" hidden="1" customWidth="1"/>
    <col min="14" max="16383" width="9.21875" style="428" hidden="1"/>
    <col min="16384" max="16384" width="2.88671875" style="428" hidden="1" customWidth="1"/>
  </cols>
  <sheetData>
    <row r="1" spans="1:13" ht="30" customHeight="1">
      <c r="A1" s="857" t="s">
        <v>185</v>
      </c>
      <c r="B1" s="857"/>
      <c r="C1" s="857"/>
      <c r="D1" s="857"/>
      <c r="E1" s="857"/>
      <c r="F1" s="857"/>
      <c r="G1" s="857"/>
    </row>
    <row r="2" spans="1:13" ht="30" customHeight="1">
      <c r="A2" s="857"/>
      <c r="B2" s="857"/>
      <c r="C2" s="857"/>
      <c r="D2" s="857"/>
      <c r="E2" s="857"/>
      <c r="F2" s="857"/>
      <c r="G2" s="857"/>
      <c r="I2" s="428">
        <v>0</v>
      </c>
      <c r="M2" s="428">
        <f>HOME_LOAN</f>
        <v>5000000</v>
      </c>
    </row>
    <row r="3" spans="1:13" ht="15" customHeight="1">
      <c r="A3" s="429"/>
      <c r="B3" s="430"/>
      <c r="C3" s="430"/>
      <c r="D3" s="430"/>
      <c r="E3" s="430"/>
      <c r="F3" s="430"/>
      <c r="G3" s="431"/>
      <c r="I3" s="428">
        <v>1</v>
      </c>
      <c r="J3" s="460">
        <f>$C$7</f>
        <v>52462.800714870151</v>
      </c>
      <c r="K3" s="428">
        <f>M2*($C$5/12)</f>
        <v>46875</v>
      </c>
      <c r="L3" s="460">
        <f>J3-K3</f>
        <v>5587.8007148701508</v>
      </c>
      <c r="M3" s="461">
        <f>M2-L3</f>
        <v>4994412.19928513</v>
      </c>
    </row>
    <row r="4" spans="1:13" ht="15" customHeight="1">
      <c r="A4" s="432"/>
      <c r="B4" s="433" t="s">
        <v>186</v>
      </c>
      <c r="C4" s="434">
        <v>5000000</v>
      </c>
      <c r="D4" s="433"/>
      <c r="E4" s="433" t="s">
        <v>187</v>
      </c>
      <c r="F4" s="435">
        <v>0.1</v>
      </c>
      <c r="G4" s="436"/>
      <c r="I4" s="428">
        <v>2</v>
      </c>
      <c r="J4" s="460">
        <f t="shared" ref="J4:J67" si="0">$C$7</f>
        <v>52462.800714870151</v>
      </c>
      <c r="K4" s="428">
        <f t="shared" ref="K4:K8" si="1">M3*($C$5/12)</f>
        <v>46822.614368298091</v>
      </c>
      <c r="L4" s="460">
        <f t="shared" ref="L4:L8" si="2">J4-K4</f>
        <v>5640.1863465720598</v>
      </c>
      <c r="M4" s="461">
        <f t="shared" ref="M4:M8" si="3">M3-L4</f>
        <v>4988772.0129385581</v>
      </c>
    </row>
    <row r="5" spans="1:13" ht="15" customHeight="1">
      <c r="A5" s="432"/>
      <c r="B5" s="433" t="s">
        <v>188</v>
      </c>
      <c r="C5" s="435">
        <v>0.1125</v>
      </c>
      <c r="D5" s="433"/>
      <c r="E5" s="437" t="s">
        <v>66</v>
      </c>
      <c r="F5" s="438">
        <f>PMT(F4/12,(C6*12)-C8,-VLOOKUP(C8,I2:M303,5,0),,0)</f>
        <v>48923.554587220795</v>
      </c>
      <c r="G5" s="436"/>
      <c r="I5" s="428">
        <v>3</v>
      </c>
      <c r="J5" s="460">
        <f t="shared" si="0"/>
        <v>52462.800714870151</v>
      </c>
      <c r="K5" s="428">
        <f t="shared" si="1"/>
        <v>46769.737621298984</v>
      </c>
      <c r="L5" s="460">
        <f t="shared" si="2"/>
        <v>5693.063093571167</v>
      </c>
      <c r="M5" s="461">
        <f t="shared" si="3"/>
        <v>4983078.9498449871</v>
      </c>
    </row>
    <row r="6" spans="1:13" ht="15" customHeight="1">
      <c r="A6" s="432"/>
      <c r="B6" s="433" t="s">
        <v>189</v>
      </c>
      <c r="C6" s="439">
        <v>20</v>
      </c>
      <c r="D6" s="433"/>
      <c r="E6" s="437" t="s">
        <v>190</v>
      </c>
      <c r="F6" s="438">
        <f>C7-F5</f>
        <v>3539.2461276493559</v>
      </c>
      <c r="G6" s="436"/>
      <c r="I6" s="428">
        <v>4</v>
      </c>
      <c r="J6" s="460">
        <f t="shared" si="0"/>
        <v>52462.800714870151</v>
      </c>
      <c r="K6" s="428">
        <f t="shared" si="1"/>
        <v>46716.365154796753</v>
      </c>
      <c r="L6" s="460">
        <f t="shared" si="2"/>
        <v>5746.4355600733979</v>
      </c>
      <c r="M6" s="461">
        <f t="shared" si="3"/>
        <v>4977332.5142849134</v>
      </c>
    </row>
    <row r="7" spans="1:13" ht="15" customHeight="1">
      <c r="A7" s="432"/>
      <c r="B7" s="437" t="s">
        <v>43</v>
      </c>
      <c r="C7" s="438">
        <f>PMT(C5/12,C6*12,-C4,,0)</f>
        <v>52462.800714870151</v>
      </c>
      <c r="D7" s="433"/>
      <c r="E7" s="433" t="s">
        <v>76</v>
      </c>
      <c r="F7" s="440">
        <v>0.18</v>
      </c>
      <c r="G7" s="436"/>
      <c r="I7" s="428">
        <v>5</v>
      </c>
      <c r="J7" s="460">
        <f t="shared" si="0"/>
        <v>52462.800714870151</v>
      </c>
      <c r="K7" s="428">
        <f t="shared" si="1"/>
        <v>46662.492321421065</v>
      </c>
      <c r="L7" s="460">
        <f t="shared" si="2"/>
        <v>5800.308393449086</v>
      </c>
      <c r="M7" s="461">
        <f t="shared" si="3"/>
        <v>4971532.2058914639</v>
      </c>
    </row>
    <row r="8" spans="1:13" ht="15" customHeight="1">
      <c r="A8" s="432"/>
      <c r="B8" s="433" t="s">
        <v>191</v>
      </c>
      <c r="C8" s="439">
        <v>60</v>
      </c>
      <c r="D8" s="852" t="str">
        <f>"  (SIP tenure is "&amp;TEXT(C6-(C8/12),"#,##")&amp;" year(s), please assume return accordingly)"</f>
        <v xml:space="preserve">  (SIP tenure is 15 year(s), please assume return accordingly)</v>
      </c>
      <c r="E8" s="853"/>
      <c r="F8" s="853"/>
      <c r="G8" s="854"/>
      <c r="I8" s="428">
        <v>6</v>
      </c>
      <c r="J8" s="460">
        <f t="shared" si="0"/>
        <v>52462.800714870151</v>
      </c>
      <c r="K8" s="428">
        <f t="shared" si="1"/>
        <v>46608.114430232476</v>
      </c>
      <c r="L8" s="460">
        <f t="shared" si="2"/>
        <v>5854.6862846376753</v>
      </c>
      <c r="M8" s="461">
        <f t="shared" si="3"/>
        <v>4965677.5196068259</v>
      </c>
    </row>
    <row r="9" spans="1:13" ht="15" customHeight="1">
      <c r="A9" s="432"/>
      <c r="B9" s="433"/>
      <c r="C9" s="441"/>
      <c r="D9" s="442"/>
      <c r="E9" s="442"/>
      <c r="F9" s="442"/>
      <c r="G9" s="443"/>
      <c r="I9" s="428">
        <v>7</v>
      </c>
      <c r="J9" s="460">
        <f t="shared" si="0"/>
        <v>52462.800714870151</v>
      </c>
      <c r="K9" s="428">
        <f t="shared" ref="K9:K40" si="4">M8*($C$5/12)</f>
        <v>46553.226746313994</v>
      </c>
      <c r="L9" s="460">
        <f t="shared" ref="L9:L40" si="5">J9-K9</f>
        <v>5909.5739685561566</v>
      </c>
      <c r="M9" s="461">
        <f t="shared" ref="M9:M40" si="6">M8-L9</f>
        <v>4959767.9456382701</v>
      </c>
    </row>
    <row r="10" spans="1:13">
      <c r="A10" s="444"/>
      <c r="B10" s="445"/>
      <c r="C10" s="445"/>
      <c r="D10" s="445"/>
      <c r="E10" s="445"/>
      <c r="F10" s="445"/>
      <c r="G10" s="446"/>
      <c r="I10" s="428">
        <v>8</v>
      </c>
      <c r="J10" s="460">
        <f t="shared" si="0"/>
        <v>52462.800714870151</v>
      </c>
      <c r="K10" s="428">
        <f t="shared" si="4"/>
        <v>46497.824490358784</v>
      </c>
      <c r="L10" s="460">
        <f t="shared" si="5"/>
        <v>5964.976224511367</v>
      </c>
      <c r="M10" s="461">
        <f t="shared" si="6"/>
        <v>4953802.9694137592</v>
      </c>
    </row>
    <row r="11" spans="1:13">
      <c r="A11" s="447"/>
      <c r="B11" s="855" t="s">
        <v>192</v>
      </c>
      <c r="C11" s="856"/>
      <c r="D11" s="448"/>
      <c r="E11" s="855" t="s">
        <v>193</v>
      </c>
      <c r="F11" s="856"/>
      <c r="G11" s="449"/>
      <c r="I11" s="428">
        <v>9</v>
      </c>
      <c r="J11" s="460">
        <f t="shared" si="0"/>
        <v>52462.800714870151</v>
      </c>
      <c r="K11" s="428">
        <f t="shared" si="4"/>
        <v>46441.902838253991</v>
      </c>
      <c r="L11" s="460">
        <f t="shared" si="5"/>
        <v>6020.8978766161599</v>
      </c>
      <c r="M11" s="461">
        <f t="shared" si="6"/>
        <v>4947782.0715371426</v>
      </c>
    </row>
    <row r="12" spans="1:13" ht="15.6">
      <c r="A12" s="447"/>
      <c r="B12" s="450" t="s">
        <v>43</v>
      </c>
      <c r="C12" s="451">
        <f>C7</f>
        <v>52462.800714870151</v>
      </c>
      <c r="D12" s="448"/>
      <c r="E12" s="450" t="s">
        <v>43</v>
      </c>
      <c r="F12" s="451">
        <f>F5</f>
        <v>48923.554587220795</v>
      </c>
      <c r="G12" s="449"/>
      <c r="I12" s="428">
        <v>10</v>
      </c>
      <c r="J12" s="460">
        <f t="shared" si="0"/>
        <v>52462.800714870151</v>
      </c>
      <c r="K12" s="428">
        <f t="shared" si="4"/>
        <v>46385.456920660712</v>
      </c>
      <c r="L12" s="460">
        <f t="shared" si="5"/>
        <v>6077.3437942094388</v>
      </c>
      <c r="M12" s="461">
        <f t="shared" si="6"/>
        <v>4941704.7277429327</v>
      </c>
    </row>
    <row r="13" spans="1:13" ht="15.6">
      <c r="A13" s="447"/>
      <c r="B13" s="450" t="s">
        <v>48</v>
      </c>
      <c r="C13" s="452">
        <v>0</v>
      </c>
      <c r="D13" s="448"/>
      <c r="E13" s="450" t="s">
        <v>194</v>
      </c>
      <c r="F13" s="451">
        <f>F6</f>
        <v>3539.2461276493559</v>
      </c>
      <c r="G13" s="449"/>
      <c r="I13" s="428">
        <v>11</v>
      </c>
      <c r="J13" s="460">
        <f t="shared" si="0"/>
        <v>52462.800714870151</v>
      </c>
      <c r="K13" s="428">
        <f t="shared" si="4"/>
        <v>46328.481822589994</v>
      </c>
      <c r="L13" s="460">
        <f t="shared" si="5"/>
        <v>6134.3188922801564</v>
      </c>
      <c r="M13" s="461">
        <f t="shared" si="6"/>
        <v>4935570.4088506522</v>
      </c>
    </row>
    <row r="14" spans="1:13" ht="15.6">
      <c r="A14" s="447"/>
      <c r="B14" s="450" t="s">
        <v>195</v>
      </c>
      <c r="C14" s="451">
        <f>SUM(C12:C13)</f>
        <v>52462.800714870151</v>
      </c>
      <c r="D14" s="448"/>
      <c r="E14" s="450" t="s">
        <v>195</v>
      </c>
      <c r="F14" s="451">
        <f>F13+F12</f>
        <v>52462.800714870151</v>
      </c>
      <c r="G14" s="449"/>
      <c r="I14" s="428">
        <v>12</v>
      </c>
      <c r="J14" s="460">
        <f t="shared" si="0"/>
        <v>52462.800714870151</v>
      </c>
      <c r="K14" s="428">
        <f t="shared" si="4"/>
        <v>46270.972582974864</v>
      </c>
      <c r="L14" s="460">
        <f t="shared" si="5"/>
        <v>6191.8281318952868</v>
      </c>
      <c r="M14" s="461">
        <f t="shared" si="6"/>
        <v>4929378.5807187567</v>
      </c>
    </row>
    <row r="15" spans="1:13">
      <c r="A15" s="447"/>
      <c r="B15" s="448"/>
      <c r="C15" s="448"/>
      <c r="D15" s="448"/>
      <c r="E15" s="448"/>
      <c r="F15" s="448"/>
      <c r="G15" s="449"/>
      <c r="I15" s="428">
        <v>13</v>
      </c>
      <c r="J15" s="460">
        <f t="shared" si="0"/>
        <v>52462.800714870151</v>
      </c>
      <c r="K15" s="428">
        <f t="shared" si="4"/>
        <v>46212.924194238345</v>
      </c>
      <c r="L15" s="460">
        <f t="shared" si="5"/>
        <v>6249.8765206318058</v>
      </c>
      <c r="M15" s="461">
        <f t="shared" si="6"/>
        <v>4923128.7041981248</v>
      </c>
    </row>
    <row r="16" spans="1:13">
      <c r="A16" s="447"/>
      <c r="B16" s="453" t="s">
        <v>75</v>
      </c>
      <c r="C16" s="454">
        <f>C6-(C8/12)</f>
        <v>15</v>
      </c>
      <c r="D16" s="448"/>
      <c r="E16" s="453" t="s">
        <v>75</v>
      </c>
      <c r="F16" s="454">
        <f>C6-(C8/12)</f>
        <v>15</v>
      </c>
      <c r="G16" s="449"/>
      <c r="I16" s="428">
        <v>14</v>
      </c>
      <c r="J16" s="460">
        <f t="shared" si="0"/>
        <v>52462.800714870151</v>
      </c>
      <c r="K16" s="428">
        <f t="shared" si="4"/>
        <v>46154.331601857419</v>
      </c>
      <c r="L16" s="460">
        <f t="shared" si="5"/>
        <v>6308.4691130127321</v>
      </c>
      <c r="M16" s="461">
        <f t="shared" si="6"/>
        <v>4916820.235085112</v>
      </c>
    </row>
    <row r="17" spans="1:13">
      <c r="A17" s="447"/>
      <c r="B17" s="448"/>
      <c r="C17" s="448"/>
      <c r="D17" s="448"/>
      <c r="E17" s="448"/>
      <c r="F17" s="448"/>
      <c r="G17" s="449"/>
      <c r="I17" s="428">
        <v>15</v>
      </c>
      <c r="J17" s="460">
        <f t="shared" si="0"/>
        <v>52462.800714870151</v>
      </c>
      <c r="K17" s="428">
        <f t="shared" si="4"/>
        <v>46095.189703922922</v>
      </c>
      <c r="L17" s="460">
        <f t="shared" si="5"/>
        <v>6367.6110109472284</v>
      </c>
      <c r="M17" s="461">
        <f t="shared" si="6"/>
        <v>4910452.6240741648</v>
      </c>
    </row>
    <row r="18" spans="1:13" ht="16.2">
      <c r="A18" s="447"/>
      <c r="B18" s="453" t="str">
        <f>"Wealth created in "&amp;$C$6&amp;" years"</f>
        <v>Wealth created in 20 years</v>
      </c>
      <c r="C18" s="454">
        <v>0</v>
      </c>
      <c r="D18" s="448"/>
      <c r="E18" s="453" t="str">
        <f>"Wealth created in "&amp;$C$6-(C8/12)&amp;" years*"</f>
        <v>Wealth created in 15 years*</v>
      </c>
      <c r="F18" s="455">
        <f>FV((1+F7)^(1/12)-1,(C6*12)-C8,-F6,,1)</f>
        <v>2835324.3396625631</v>
      </c>
      <c r="G18" s="449"/>
      <c r="I18" s="428">
        <v>16</v>
      </c>
      <c r="J18" s="460">
        <f t="shared" si="0"/>
        <v>52462.800714870151</v>
      </c>
      <c r="K18" s="428">
        <f t="shared" si="4"/>
        <v>46035.493350695295</v>
      </c>
      <c r="L18" s="460">
        <f t="shared" si="5"/>
        <v>6427.307364174856</v>
      </c>
      <c r="M18" s="461">
        <f t="shared" si="6"/>
        <v>4904025.3167099897</v>
      </c>
    </row>
    <row r="19" spans="1:13">
      <c r="A19" s="447"/>
      <c r="B19" s="858"/>
      <c r="C19" s="858"/>
      <c r="D19" s="456"/>
      <c r="E19" s="861" t="s">
        <v>196</v>
      </c>
      <c r="F19" s="861"/>
      <c r="G19" s="449"/>
      <c r="I19" s="428">
        <v>17</v>
      </c>
      <c r="J19" s="460">
        <f t="shared" si="0"/>
        <v>52462.800714870151</v>
      </c>
      <c r="K19" s="428">
        <f t="shared" si="4"/>
        <v>45975.23734415615</v>
      </c>
      <c r="L19" s="460">
        <f t="shared" si="5"/>
        <v>6487.5633707140005</v>
      </c>
      <c r="M19" s="461">
        <f t="shared" si="6"/>
        <v>4897537.7533392757</v>
      </c>
    </row>
    <row r="20" spans="1:13">
      <c r="A20" s="447"/>
      <c r="B20" s="859"/>
      <c r="C20" s="859"/>
      <c r="D20" s="456"/>
      <c r="E20" s="862"/>
      <c r="F20" s="862"/>
      <c r="G20" s="449"/>
      <c r="I20" s="428">
        <v>18</v>
      </c>
      <c r="J20" s="460">
        <f t="shared" si="0"/>
        <v>52462.800714870151</v>
      </c>
      <c r="K20" s="428">
        <f t="shared" si="4"/>
        <v>45914.416437555708</v>
      </c>
      <c r="L20" s="460">
        <f t="shared" si="5"/>
        <v>6548.3842773144424</v>
      </c>
      <c r="M20" s="461">
        <f t="shared" si="6"/>
        <v>4890989.3690619608</v>
      </c>
    </row>
    <row r="21" spans="1:13">
      <c r="A21" s="457"/>
      <c r="B21" s="860"/>
      <c r="C21" s="860"/>
      <c r="D21" s="458"/>
      <c r="E21" s="458"/>
      <c r="F21" s="458"/>
      <c r="G21" s="459"/>
      <c r="I21" s="428">
        <v>19</v>
      </c>
      <c r="J21" s="460">
        <f t="shared" si="0"/>
        <v>52462.800714870151</v>
      </c>
      <c r="K21" s="428">
        <f t="shared" si="4"/>
        <v>45853.025334955884</v>
      </c>
      <c r="L21" s="460">
        <f t="shared" si="5"/>
        <v>6609.7753799142665</v>
      </c>
      <c r="M21" s="461">
        <f t="shared" si="6"/>
        <v>4884379.593682047</v>
      </c>
    </row>
    <row r="22" spans="1:13" ht="5.25" customHeight="1">
      <c r="I22" s="428">
        <v>20</v>
      </c>
      <c r="J22" s="460">
        <f t="shared" si="0"/>
        <v>52462.800714870151</v>
      </c>
      <c r="K22" s="428">
        <f t="shared" si="4"/>
        <v>45791.05869076919</v>
      </c>
      <c r="L22" s="460">
        <f t="shared" si="5"/>
        <v>6671.7420241009604</v>
      </c>
      <c r="M22" s="461">
        <f t="shared" si="6"/>
        <v>4877707.8516579457</v>
      </c>
    </row>
    <row r="23" spans="1:13" ht="16.5" hidden="1" customHeight="1">
      <c r="I23" s="428">
        <v>21</v>
      </c>
      <c r="J23" s="460">
        <f t="shared" si="0"/>
        <v>52462.800714870151</v>
      </c>
      <c r="K23" s="428">
        <f t="shared" si="4"/>
        <v>45728.511109293242</v>
      </c>
      <c r="L23" s="460">
        <f t="shared" si="5"/>
        <v>6734.2896055769088</v>
      </c>
      <c r="M23" s="461">
        <f t="shared" si="6"/>
        <v>4870973.5620523691</v>
      </c>
    </row>
    <row r="24" spans="1:13" ht="16.5" hidden="1" customHeight="1">
      <c r="I24" s="428">
        <v>22</v>
      </c>
      <c r="J24" s="460">
        <f t="shared" si="0"/>
        <v>52462.800714870151</v>
      </c>
      <c r="K24" s="428">
        <f t="shared" si="4"/>
        <v>45665.377144240956</v>
      </c>
      <c r="L24" s="460">
        <f t="shared" si="5"/>
        <v>6797.4235706291947</v>
      </c>
      <c r="M24" s="461">
        <f t="shared" si="6"/>
        <v>4864176.1384817399</v>
      </c>
    </row>
    <row r="25" spans="1:13" ht="16.5" hidden="1" customHeight="1">
      <c r="I25" s="428">
        <v>23</v>
      </c>
      <c r="J25" s="460">
        <f t="shared" si="0"/>
        <v>52462.800714870151</v>
      </c>
      <c r="K25" s="428">
        <f t="shared" si="4"/>
        <v>45601.651298266312</v>
      </c>
      <c r="L25" s="460">
        <f t="shared" si="5"/>
        <v>6861.1494166038392</v>
      </c>
      <c r="M25" s="461">
        <f t="shared" si="6"/>
        <v>4857314.9890651358</v>
      </c>
    </row>
    <row r="26" spans="1:13" ht="16.5" hidden="1" customHeight="1">
      <c r="I26" s="428">
        <v>24</v>
      </c>
      <c r="J26" s="460">
        <f t="shared" si="0"/>
        <v>52462.800714870151</v>
      </c>
      <c r="K26" s="428">
        <f t="shared" si="4"/>
        <v>45537.32802248565</v>
      </c>
      <c r="L26" s="460">
        <f t="shared" si="5"/>
        <v>6925.472692384501</v>
      </c>
      <c r="M26" s="461">
        <f t="shared" si="6"/>
        <v>4850389.5163727514</v>
      </c>
    </row>
    <row r="27" spans="1:13" ht="16.5" hidden="1" customHeight="1">
      <c r="I27" s="428">
        <v>25</v>
      </c>
      <c r="J27" s="460">
        <f t="shared" si="0"/>
        <v>52462.800714870151</v>
      </c>
      <c r="K27" s="428">
        <f t="shared" si="4"/>
        <v>45472.401715994543</v>
      </c>
      <c r="L27" s="460">
        <f t="shared" si="5"/>
        <v>6990.3989988756075</v>
      </c>
      <c r="M27" s="461">
        <f t="shared" si="6"/>
        <v>4843399.1173738763</v>
      </c>
    </row>
    <row r="28" spans="1:13" ht="16.5" hidden="1" customHeight="1">
      <c r="I28" s="428">
        <v>26</v>
      </c>
      <c r="J28" s="460">
        <f t="shared" si="0"/>
        <v>52462.800714870151</v>
      </c>
      <c r="K28" s="428">
        <f t="shared" si="4"/>
        <v>45406.866725380089</v>
      </c>
      <c r="L28" s="460">
        <f t="shared" si="5"/>
        <v>7055.9339894900622</v>
      </c>
      <c r="M28" s="461">
        <f t="shared" si="6"/>
        <v>4836343.1833843859</v>
      </c>
    </row>
    <row r="29" spans="1:13" ht="16.5" hidden="1" customHeight="1">
      <c r="I29" s="428">
        <v>27</v>
      </c>
      <c r="J29" s="460">
        <f t="shared" si="0"/>
        <v>52462.800714870151</v>
      </c>
      <c r="K29" s="428">
        <f t="shared" si="4"/>
        <v>45340.717344228615</v>
      </c>
      <c r="L29" s="460">
        <f t="shared" si="5"/>
        <v>7122.083370641536</v>
      </c>
      <c r="M29" s="461">
        <f t="shared" si="6"/>
        <v>4829221.1000137441</v>
      </c>
    </row>
    <row r="30" spans="1:13" ht="16.5" hidden="1" customHeight="1">
      <c r="I30" s="428">
        <v>28</v>
      </c>
      <c r="J30" s="460">
        <f t="shared" si="0"/>
        <v>52462.800714870151</v>
      </c>
      <c r="K30" s="428">
        <f t="shared" si="4"/>
        <v>45273.947812628852</v>
      </c>
      <c r="L30" s="460">
        <f t="shared" si="5"/>
        <v>7188.8529022412986</v>
      </c>
      <c r="M30" s="461">
        <f t="shared" si="6"/>
        <v>4822032.247111503</v>
      </c>
    </row>
    <row r="31" spans="1:13" ht="16.5" hidden="1" customHeight="1">
      <c r="I31" s="428">
        <v>29</v>
      </c>
      <c r="J31" s="460">
        <f t="shared" si="0"/>
        <v>52462.800714870151</v>
      </c>
      <c r="K31" s="428">
        <f t="shared" si="4"/>
        <v>45206.552316670342</v>
      </c>
      <c r="L31" s="460">
        <f t="shared" si="5"/>
        <v>7256.2483981998084</v>
      </c>
      <c r="M31" s="461">
        <f t="shared" si="6"/>
        <v>4814775.9987133034</v>
      </c>
    </row>
    <row r="32" spans="1:13" ht="16.5" hidden="1" customHeight="1">
      <c r="I32" s="428">
        <v>30</v>
      </c>
      <c r="J32" s="460">
        <f t="shared" si="0"/>
        <v>52462.800714870151</v>
      </c>
      <c r="K32" s="428">
        <f t="shared" si="4"/>
        <v>45138.52498793722</v>
      </c>
      <c r="L32" s="460">
        <f t="shared" si="5"/>
        <v>7324.2757269329304</v>
      </c>
      <c r="M32" s="461">
        <f t="shared" si="6"/>
        <v>4807451.7229863703</v>
      </c>
    </row>
    <row r="33" spans="9:13" ht="16.5" hidden="1" customHeight="1">
      <c r="I33" s="428">
        <v>31</v>
      </c>
      <c r="J33" s="460">
        <f t="shared" si="0"/>
        <v>52462.800714870151</v>
      </c>
      <c r="K33" s="428">
        <f t="shared" si="4"/>
        <v>45069.859902997217</v>
      </c>
      <c r="L33" s="460">
        <f t="shared" si="5"/>
        <v>7392.9408118729334</v>
      </c>
      <c r="M33" s="461">
        <f t="shared" si="6"/>
        <v>4800058.7821744978</v>
      </c>
    </row>
    <row r="34" spans="9:13" ht="16.5" hidden="1" customHeight="1">
      <c r="I34" s="428">
        <v>32</v>
      </c>
      <c r="J34" s="460">
        <f t="shared" si="0"/>
        <v>52462.800714870151</v>
      </c>
      <c r="K34" s="428">
        <f t="shared" si="4"/>
        <v>45000.551082885919</v>
      </c>
      <c r="L34" s="460">
        <f t="shared" si="5"/>
        <v>7462.2496319842321</v>
      </c>
      <c r="M34" s="461">
        <f t="shared" si="6"/>
        <v>4792596.5325425137</v>
      </c>
    </row>
    <row r="35" spans="9:13" ht="16.5" hidden="1" customHeight="1">
      <c r="I35" s="428">
        <v>33</v>
      </c>
      <c r="J35" s="460">
        <f t="shared" si="0"/>
        <v>52462.800714870151</v>
      </c>
      <c r="K35" s="428">
        <f t="shared" si="4"/>
        <v>44930.592492586067</v>
      </c>
      <c r="L35" s="460">
        <f t="shared" si="5"/>
        <v>7532.2082222840836</v>
      </c>
      <c r="M35" s="461">
        <f t="shared" si="6"/>
        <v>4785064.3243202297</v>
      </c>
    </row>
    <row r="36" spans="9:13" ht="16.5" hidden="1" customHeight="1">
      <c r="I36" s="428">
        <v>34</v>
      </c>
      <c r="J36" s="460">
        <f t="shared" si="0"/>
        <v>52462.800714870151</v>
      </c>
      <c r="K36" s="428">
        <f t="shared" si="4"/>
        <v>44859.978040502152</v>
      </c>
      <c r="L36" s="460">
        <f t="shared" si="5"/>
        <v>7602.8226743679988</v>
      </c>
      <c r="M36" s="461">
        <f t="shared" si="6"/>
        <v>4777461.5016458621</v>
      </c>
    </row>
    <row r="37" spans="9:13" ht="16.5" hidden="1" customHeight="1">
      <c r="I37" s="428">
        <v>35</v>
      </c>
      <c r="J37" s="460">
        <f t="shared" si="0"/>
        <v>52462.800714870151</v>
      </c>
      <c r="K37" s="428">
        <f t="shared" si="4"/>
        <v>44788.701577929955</v>
      </c>
      <c r="L37" s="460">
        <f t="shared" si="5"/>
        <v>7674.0991369401963</v>
      </c>
      <c r="M37" s="461">
        <f t="shared" si="6"/>
        <v>4769787.4025089219</v>
      </c>
    </row>
    <row r="38" spans="9:13" ht="16.5" hidden="1" customHeight="1">
      <c r="I38" s="428">
        <v>36</v>
      </c>
      <c r="J38" s="460">
        <f t="shared" si="0"/>
        <v>52462.800714870151</v>
      </c>
      <c r="K38" s="428">
        <f t="shared" si="4"/>
        <v>44716.75689852114</v>
      </c>
      <c r="L38" s="460">
        <f t="shared" si="5"/>
        <v>7746.0438163490107</v>
      </c>
      <c r="M38" s="461">
        <f t="shared" si="6"/>
        <v>4762041.3586925725</v>
      </c>
    </row>
    <row r="39" spans="9:13" ht="16.5" hidden="1" customHeight="1">
      <c r="I39" s="428">
        <v>37</v>
      </c>
      <c r="J39" s="460">
        <f t="shared" si="0"/>
        <v>52462.800714870151</v>
      </c>
      <c r="K39" s="428">
        <f t="shared" si="4"/>
        <v>44644.137737742865</v>
      </c>
      <c r="L39" s="460">
        <f t="shared" si="5"/>
        <v>7818.6629771272856</v>
      </c>
      <c r="M39" s="461">
        <f t="shared" si="6"/>
        <v>4754222.6957154451</v>
      </c>
    </row>
    <row r="40" spans="9:13" ht="16.5" hidden="1" customHeight="1">
      <c r="I40" s="428">
        <v>38</v>
      </c>
      <c r="J40" s="460">
        <f t="shared" si="0"/>
        <v>52462.800714870151</v>
      </c>
      <c r="K40" s="428">
        <f t="shared" si="4"/>
        <v>44570.837772332299</v>
      </c>
      <c r="L40" s="460">
        <f t="shared" si="5"/>
        <v>7891.9629425378516</v>
      </c>
      <c r="M40" s="461">
        <f t="shared" si="6"/>
        <v>4746330.7327729072</v>
      </c>
    </row>
    <row r="41" spans="9:13" ht="16.5" hidden="1" customHeight="1">
      <c r="I41" s="428">
        <v>39</v>
      </c>
      <c r="J41" s="460">
        <f t="shared" si="0"/>
        <v>52462.800714870151</v>
      </c>
      <c r="K41" s="428">
        <f t="shared" ref="K41:K67" si="7">M40*($C$5/12)</f>
        <v>44496.850619746001</v>
      </c>
      <c r="L41" s="460">
        <f t="shared" ref="L41:L67" si="8">J41-K41</f>
        <v>7965.9500951241498</v>
      </c>
      <c r="M41" s="461">
        <f t="shared" ref="M41:M67" si="9">M40-L41</f>
        <v>4738364.7826777827</v>
      </c>
    </row>
    <row r="42" spans="9:13" ht="16.5" hidden="1" customHeight="1">
      <c r="I42" s="428">
        <v>40</v>
      </c>
      <c r="J42" s="460">
        <f t="shared" si="0"/>
        <v>52462.800714870151</v>
      </c>
      <c r="K42" s="428">
        <f t="shared" si="7"/>
        <v>44422.169837604211</v>
      </c>
      <c r="L42" s="460">
        <f t="shared" si="8"/>
        <v>8040.6308772659395</v>
      </c>
      <c r="M42" s="461">
        <f t="shared" si="9"/>
        <v>4730324.151800517</v>
      </c>
    </row>
    <row r="43" spans="9:13" ht="16.5" hidden="1" customHeight="1">
      <c r="I43" s="428">
        <v>41</v>
      </c>
      <c r="J43" s="460">
        <f t="shared" si="0"/>
        <v>52462.800714870151</v>
      </c>
      <c r="K43" s="428">
        <f t="shared" si="7"/>
        <v>44346.788923129847</v>
      </c>
      <c r="L43" s="460">
        <f t="shared" si="8"/>
        <v>8116.011791740304</v>
      </c>
      <c r="M43" s="461">
        <f t="shared" si="9"/>
        <v>4722208.1400087764</v>
      </c>
    </row>
    <row r="44" spans="9:13" ht="16.5" hidden="1" customHeight="1">
      <c r="I44" s="428">
        <v>42</v>
      </c>
      <c r="J44" s="460">
        <f t="shared" si="0"/>
        <v>52462.800714870151</v>
      </c>
      <c r="K44" s="428">
        <f t="shared" si="7"/>
        <v>44270.701312582278</v>
      </c>
      <c r="L44" s="460">
        <f t="shared" si="8"/>
        <v>8192.0994022878731</v>
      </c>
      <c r="M44" s="461">
        <f t="shared" si="9"/>
        <v>4714016.0406064885</v>
      </c>
    </row>
    <row r="45" spans="9:13" ht="16.5" hidden="1" customHeight="1">
      <c r="I45" s="428">
        <v>43</v>
      </c>
      <c r="J45" s="460">
        <f t="shared" si="0"/>
        <v>52462.800714870151</v>
      </c>
      <c r="K45" s="428">
        <f t="shared" si="7"/>
        <v>44193.900380685831</v>
      </c>
      <c r="L45" s="460">
        <f t="shared" si="8"/>
        <v>8268.9003341843199</v>
      </c>
      <c r="M45" s="461">
        <f t="shared" si="9"/>
        <v>4705747.1402723044</v>
      </c>
    </row>
    <row r="46" spans="9:13" ht="16.5" hidden="1" customHeight="1">
      <c r="I46" s="428">
        <v>44</v>
      </c>
      <c r="J46" s="460">
        <f t="shared" si="0"/>
        <v>52462.800714870151</v>
      </c>
      <c r="K46" s="428">
        <f t="shared" si="7"/>
        <v>44116.37944005285</v>
      </c>
      <c r="L46" s="460">
        <f t="shared" si="8"/>
        <v>8346.4212748173013</v>
      </c>
      <c r="M46" s="461">
        <f t="shared" si="9"/>
        <v>4697400.7189974869</v>
      </c>
    </row>
    <row r="47" spans="9:13" ht="16.5" hidden="1" customHeight="1">
      <c r="I47" s="428">
        <v>45</v>
      </c>
      <c r="J47" s="460">
        <f t="shared" si="0"/>
        <v>52462.800714870151</v>
      </c>
      <c r="K47" s="428">
        <f t="shared" si="7"/>
        <v>44038.131740601435</v>
      </c>
      <c r="L47" s="460">
        <f t="shared" si="8"/>
        <v>8424.6689742687158</v>
      </c>
      <c r="M47" s="461">
        <f t="shared" si="9"/>
        <v>4688976.0500232186</v>
      </c>
    </row>
    <row r="48" spans="9:13" ht="16.5" hidden="1" customHeight="1">
      <c r="I48" s="428">
        <v>46</v>
      </c>
      <c r="J48" s="460">
        <f t="shared" si="0"/>
        <v>52462.800714870151</v>
      </c>
      <c r="K48" s="428">
        <f t="shared" si="7"/>
        <v>43959.150468967673</v>
      </c>
      <c r="L48" s="460">
        <f t="shared" si="8"/>
        <v>8503.6502459024778</v>
      </c>
      <c r="M48" s="461">
        <f t="shared" si="9"/>
        <v>4680472.3997773165</v>
      </c>
    </row>
    <row r="49" spans="9:13" ht="16.5" hidden="1" customHeight="1">
      <c r="I49" s="428">
        <v>47</v>
      </c>
      <c r="J49" s="460">
        <f t="shared" si="0"/>
        <v>52462.800714870151</v>
      </c>
      <c r="K49" s="428">
        <f t="shared" si="7"/>
        <v>43879.428747912338</v>
      </c>
      <c r="L49" s="460">
        <f t="shared" si="8"/>
        <v>8583.3719669578131</v>
      </c>
      <c r="M49" s="461">
        <f t="shared" si="9"/>
        <v>4671889.0278103584</v>
      </c>
    </row>
    <row r="50" spans="9:13" ht="16.5" hidden="1" customHeight="1">
      <c r="I50" s="428">
        <v>48</v>
      </c>
      <c r="J50" s="460">
        <f t="shared" si="0"/>
        <v>52462.800714870151</v>
      </c>
      <c r="K50" s="428">
        <f t="shared" si="7"/>
        <v>43798.959635722109</v>
      </c>
      <c r="L50" s="460">
        <f t="shared" si="8"/>
        <v>8663.8410791480419</v>
      </c>
      <c r="M50" s="461">
        <f t="shared" si="9"/>
        <v>4663225.18673121</v>
      </c>
    </row>
    <row r="51" spans="9:13" ht="16.5" hidden="1" customHeight="1">
      <c r="I51" s="428">
        <v>49</v>
      </c>
      <c r="J51" s="460">
        <f t="shared" si="0"/>
        <v>52462.800714870151</v>
      </c>
      <c r="K51" s="428">
        <f t="shared" si="7"/>
        <v>43717.736125605094</v>
      </c>
      <c r="L51" s="460">
        <f t="shared" si="8"/>
        <v>8745.0645892650573</v>
      </c>
      <c r="M51" s="461">
        <f t="shared" si="9"/>
        <v>4654480.1221419452</v>
      </c>
    </row>
    <row r="52" spans="9:13" ht="16.5" hidden="1" customHeight="1">
      <c r="I52" s="428">
        <v>50</v>
      </c>
      <c r="J52" s="460">
        <f t="shared" si="0"/>
        <v>52462.800714870151</v>
      </c>
      <c r="K52" s="428">
        <f t="shared" si="7"/>
        <v>43635.751145080736</v>
      </c>
      <c r="L52" s="460">
        <f t="shared" si="8"/>
        <v>8827.0495697894148</v>
      </c>
      <c r="M52" s="461">
        <f t="shared" si="9"/>
        <v>4645653.0725721559</v>
      </c>
    </row>
    <row r="53" spans="9:13" ht="16.5" hidden="1" customHeight="1">
      <c r="I53" s="428">
        <v>51</v>
      </c>
      <c r="J53" s="460">
        <f t="shared" si="0"/>
        <v>52462.800714870151</v>
      </c>
      <c r="K53" s="428">
        <f t="shared" si="7"/>
        <v>43552.99755536396</v>
      </c>
      <c r="L53" s="460">
        <f t="shared" si="8"/>
        <v>8909.8031595061912</v>
      </c>
      <c r="M53" s="461">
        <f t="shared" si="9"/>
        <v>4636743.2694126498</v>
      </c>
    </row>
    <row r="54" spans="9:13" ht="16.5" hidden="1" customHeight="1">
      <c r="I54" s="428">
        <v>52</v>
      </c>
      <c r="J54" s="460">
        <f t="shared" si="0"/>
        <v>52462.800714870151</v>
      </c>
      <c r="K54" s="428">
        <f t="shared" si="7"/>
        <v>43469.468150743589</v>
      </c>
      <c r="L54" s="460">
        <f t="shared" si="8"/>
        <v>8993.3325641265619</v>
      </c>
      <c r="M54" s="461">
        <f t="shared" si="9"/>
        <v>4627749.9368485231</v>
      </c>
    </row>
    <row r="55" spans="9:13" ht="16.5" hidden="1" customHeight="1">
      <c r="I55" s="428">
        <v>53</v>
      </c>
      <c r="J55" s="460">
        <f t="shared" si="0"/>
        <v>52462.800714870151</v>
      </c>
      <c r="K55" s="428">
        <f t="shared" si="7"/>
        <v>43385.1556579549</v>
      </c>
      <c r="L55" s="460">
        <f t="shared" si="8"/>
        <v>9077.6450569152512</v>
      </c>
      <c r="M55" s="461">
        <f t="shared" si="9"/>
        <v>4618672.2917916076</v>
      </c>
    </row>
    <row r="56" spans="9:13" ht="16.5" hidden="1" customHeight="1">
      <c r="I56" s="428">
        <v>54</v>
      </c>
      <c r="J56" s="460">
        <f t="shared" si="0"/>
        <v>52462.800714870151</v>
      </c>
      <c r="K56" s="428">
        <f t="shared" si="7"/>
        <v>43300.05273554632</v>
      </c>
      <c r="L56" s="460">
        <f t="shared" si="8"/>
        <v>9162.7479793238308</v>
      </c>
      <c r="M56" s="461">
        <f t="shared" si="9"/>
        <v>4609509.5438122842</v>
      </c>
    </row>
    <row r="57" spans="9:13" ht="16.5" hidden="1" customHeight="1">
      <c r="I57" s="428">
        <v>55</v>
      </c>
      <c r="J57" s="460">
        <f t="shared" si="0"/>
        <v>52462.800714870151</v>
      </c>
      <c r="K57" s="428">
        <f t="shared" si="7"/>
        <v>43214.151973240165</v>
      </c>
      <c r="L57" s="460">
        <f t="shared" si="8"/>
        <v>9248.648741629986</v>
      </c>
      <c r="M57" s="461">
        <f t="shared" si="9"/>
        <v>4600260.8950706543</v>
      </c>
    </row>
    <row r="58" spans="9:13" ht="16.5" hidden="1" customHeight="1">
      <c r="I58" s="428">
        <v>56</v>
      </c>
      <c r="J58" s="460">
        <f t="shared" si="0"/>
        <v>52462.800714870151</v>
      </c>
      <c r="K58" s="428">
        <f t="shared" si="7"/>
        <v>43127.445891287382</v>
      </c>
      <c r="L58" s="460">
        <f t="shared" si="8"/>
        <v>9335.3548235827693</v>
      </c>
      <c r="M58" s="461">
        <f t="shared" si="9"/>
        <v>4590925.5402470715</v>
      </c>
    </row>
    <row r="59" spans="9:13" ht="16.5" hidden="1" customHeight="1">
      <c r="I59" s="428">
        <v>57</v>
      </c>
      <c r="J59" s="460">
        <f t="shared" si="0"/>
        <v>52462.800714870151</v>
      </c>
      <c r="K59" s="428">
        <f t="shared" si="7"/>
        <v>43039.926939816294</v>
      </c>
      <c r="L59" s="460">
        <f t="shared" si="8"/>
        <v>9422.8737750538567</v>
      </c>
      <c r="M59" s="461">
        <f t="shared" si="9"/>
        <v>4581502.6664720178</v>
      </c>
    </row>
    <row r="60" spans="9:13" ht="16.5" hidden="1" customHeight="1">
      <c r="I60" s="428">
        <v>58</v>
      </c>
      <c r="J60" s="460">
        <f t="shared" si="0"/>
        <v>52462.800714870151</v>
      </c>
      <c r="K60" s="428">
        <f t="shared" si="7"/>
        <v>42951.587498175162</v>
      </c>
      <c r="L60" s="460">
        <f t="shared" si="8"/>
        <v>9511.2132166949887</v>
      </c>
      <c r="M60" s="461">
        <f t="shared" si="9"/>
        <v>4571991.4532553228</v>
      </c>
    </row>
    <row r="61" spans="9:13" ht="16.5" hidden="1" customHeight="1">
      <c r="I61" s="428">
        <v>59</v>
      </c>
      <c r="J61" s="460">
        <f t="shared" si="0"/>
        <v>52462.800714870151</v>
      </c>
      <c r="K61" s="428">
        <f t="shared" si="7"/>
        <v>42862.419874268649</v>
      </c>
      <c r="L61" s="460">
        <f t="shared" si="8"/>
        <v>9600.3808406015014</v>
      </c>
      <c r="M61" s="461">
        <f t="shared" si="9"/>
        <v>4562391.0724147214</v>
      </c>
    </row>
    <row r="62" spans="9:13" ht="16.5" hidden="1" customHeight="1">
      <c r="I62" s="428">
        <v>60</v>
      </c>
      <c r="J62" s="460">
        <f t="shared" si="0"/>
        <v>52462.800714870151</v>
      </c>
      <c r="K62" s="428">
        <f t="shared" si="7"/>
        <v>42772.416303888014</v>
      </c>
      <c r="L62" s="460">
        <f t="shared" si="8"/>
        <v>9690.3844109821366</v>
      </c>
      <c r="M62" s="461">
        <f t="shared" si="9"/>
        <v>4552700.6880037393</v>
      </c>
    </row>
    <row r="63" spans="9:13" ht="16.5" hidden="1" customHeight="1">
      <c r="I63" s="428">
        <v>61</v>
      </c>
      <c r="J63" s="460">
        <f t="shared" si="0"/>
        <v>52462.800714870151</v>
      </c>
      <c r="K63" s="428">
        <f t="shared" si="7"/>
        <v>42681.568950035056</v>
      </c>
      <c r="L63" s="460">
        <f t="shared" si="8"/>
        <v>9781.2317648350945</v>
      </c>
      <c r="M63" s="461">
        <f t="shared" si="9"/>
        <v>4542919.456238904</v>
      </c>
    </row>
    <row r="64" spans="9:13" ht="16.5" hidden="1" customHeight="1">
      <c r="I64" s="428">
        <v>62</v>
      </c>
      <c r="J64" s="460">
        <f t="shared" si="0"/>
        <v>52462.800714870151</v>
      </c>
      <c r="K64" s="428">
        <f t="shared" si="7"/>
        <v>42589.869902239727</v>
      </c>
      <c r="L64" s="460">
        <f t="shared" si="8"/>
        <v>9872.930812630424</v>
      </c>
      <c r="M64" s="461">
        <f t="shared" si="9"/>
        <v>4533046.5254262732</v>
      </c>
    </row>
    <row r="65" spans="9:13" ht="16.5" hidden="1" customHeight="1">
      <c r="I65" s="428">
        <v>63</v>
      </c>
      <c r="J65" s="460">
        <f t="shared" si="0"/>
        <v>52462.800714870151</v>
      </c>
      <c r="K65" s="428">
        <f t="shared" si="7"/>
        <v>42497.311175871313</v>
      </c>
      <c r="L65" s="460">
        <f t="shared" si="8"/>
        <v>9965.4895389988378</v>
      </c>
      <c r="M65" s="461">
        <f t="shared" si="9"/>
        <v>4523081.035887274</v>
      </c>
    </row>
    <row r="66" spans="9:13" ht="16.5" hidden="1" customHeight="1">
      <c r="I66" s="428">
        <v>64</v>
      </c>
      <c r="J66" s="460">
        <f t="shared" si="0"/>
        <v>52462.800714870151</v>
      </c>
      <c r="K66" s="428">
        <f t="shared" si="7"/>
        <v>42403.884711443192</v>
      </c>
      <c r="L66" s="460">
        <f t="shared" si="8"/>
        <v>10058.916003426959</v>
      </c>
      <c r="M66" s="461">
        <f t="shared" si="9"/>
        <v>4513022.1198838474</v>
      </c>
    </row>
    <row r="67" spans="9:13" ht="16.5" hidden="1" customHeight="1">
      <c r="I67" s="428">
        <v>65</v>
      </c>
      <c r="J67" s="460">
        <f t="shared" si="0"/>
        <v>52462.800714870151</v>
      </c>
      <c r="K67" s="428">
        <f t="shared" si="7"/>
        <v>42309.582373911071</v>
      </c>
      <c r="L67" s="460">
        <f t="shared" si="8"/>
        <v>10153.21834095908</v>
      </c>
      <c r="M67" s="461">
        <f t="shared" si="9"/>
        <v>4502868.901542888</v>
      </c>
    </row>
    <row r="68" spans="9:13" ht="16.5" hidden="1" customHeight="1">
      <c r="I68" s="428">
        <v>66</v>
      </c>
      <c r="J68" s="460">
        <f t="shared" ref="J68:J131" si="10">$C$7</f>
        <v>52462.800714870151</v>
      </c>
      <c r="K68" s="428">
        <f t="shared" ref="K68:K131" si="11">M67*($C$5/12)</f>
        <v>42214.395951964572</v>
      </c>
      <c r="L68" s="460">
        <f t="shared" ref="L68:L131" si="12">J68-K68</f>
        <v>10248.404762905579</v>
      </c>
      <c r="M68" s="461">
        <f t="shared" ref="M68:M131" si="13">M67-L68</f>
        <v>4492620.496779982</v>
      </c>
    </row>
    <row r="69" spans="9:13" ht="16.5" hidden="1" customHeight="1">
      <c r="I69" s="428">
        <v>67</v>
      </c>
      <c r="J69" s="460">
        <f t="shared" si="10"/>
        <v>52462.800714870151</v>
      </c>
      <c r="K69" s="428">
        <f t="shared" si="11"/>
        <v>42118.317157312333</v>
      </c>
      <c r="L69" s="460">
        <f t="shared" si="12"/>
        <v>10344.483557557818</v>
      </c>
      <c r="M69" s="461">
        <f t="shared" si="13"/>
        <v>4482276.0132224243</v>
      </c>
    </row>
    <row r="70" spans="9:13" ht="16.5" hidden="1" customHeight="1">
      <c r="I70" s="428">
        <v>68</v>
      </c>
      <c r="J70" s="460">
        <f t="shared" si="10"/>
        <v>52462.800714870151</v>
      </c>
      <c r="K70" s="428">
        <f t="shared" si="11"/>
        <v>42021.337623960229</v>
      </c>
      <c r="L70" s="460">
        <f t="shared" si="12"/>
        <v>10441.463090909921</v>
      </c>
      <c r="M70" s="461">
        <f t="shared" si="13"/>
        <v>4471834.5501315147</v>
      </c>
    </row>
    <row r="71" spans="9:13" ht="16.5" hidden="1" customHeight="1">
      <c r="I71" s="428">
        <v>69</v>
      </c>
      <c r="J71" s="460">
        <f t="shared" si="10"/>
        <v>52462.800714870151</v>
      </c>
      <c r="K71" s="428">
        <f t="shared" si="11"/>
        <v>41923.448907482947</v>
      </c>
      <c r="L71" s="460">
        <f t="shared" si="12"/>
        <v>10539.351807387204</v>
      </c>
      <c r="M71" s="461">
        <f t="shared" si="13"/>
        <v>4461295.1983241271</v>
      </c>
    </row>
    <row r="72" spans="9:13" ht="16.5" hidden="1" customHeight="1">
      <c r="I72" s="428">
        <v>70</v>
      </c>
      <c r="J72" s="460">
        <f t="shared" si="10"/>
        <v>52462.800714870151</v>
      </c>
      <c r="K72" s="428">
        <f t="shared" si="11"/>
        <v>41824.642484288692</v>
      </c>
      <c r="L72" s="460">
        <f t="shared" si="12"/>
        <v>10638.158230581459</v>
      </c>
      <c r="M72" s="461">
        <f t="shared" si="13"/>
        <v>4450657.0400935458</v>
      </c>
    </row>
    <row r="73" spans="9:13" ht="16.5" hidden="1" customHeight="1">
      <c r="I73" s="428">
        <v>71</v>
      </c>
      <c r="J73" s="460">
        <f t="shared" si="10"/>
        <v>52462.800714870151</v>
      </c>
      <c r="K73" s="428">
        <f t="shared" si="11"/>
        <v>41724.909750876992</v>
      </c>
      <c r="L73" s="460">
        <f t="shared" si="12"/>
        <v>10737.890963993159</v>
      </c>
      <c r="M73" s="461">
        <f t="shared" si="13"/>
        <v>4439919.1491295528</v>
      </c>
    </row>
    <row r="74" spans="9:13" ht="16.5" hidden="1" customHeight="1">
      <c r="I74" s="428">
        <v>72</v>
      </c>
      <c r="J74" s="460">
        <f t="shared" si="10"/>
        <v>52462.800714870151</v>
      </c>
      <c r="K74" s="428">
        <f t="shared" si="11"/>
        <v>41624.242023089559</v>
      </c>
      <c r="L74" s="460">
        <f t="shared" si="12"/>
        <v>10838.558691780592</v>
      </c>
      <c r="M74" s="461">
        <f t="shared" si="13"/>
        <v>4429080.5904377718</v>
      </c>
    </row>
    <row r="75" spans="9:13" ht="16.5" hidden="1" customHeight="1">
      <c r="I75" s="428">
        <v>73</v>
      </c>
      <c r="J75" s="460">
        <f t="shared" si="10"/>
        <v>52462.800714870151</v>
      </c>
      <c r="K75" s="428">
        <f t="shared" si="11"/>
        <v>41522.63053535411</v>
      </c>
      <c r="L75" s="460">
        <f t="shared" si="12"/>
        <v>10940.170179516041</v>
      </c>
      <c r="M75" s="461">
        <f t="shared" si="13"/>
        <v>4418140.4202582557</v>
      </c>
    </row>
    <row r="76" spans="9:13" ht="16.5" hidden="1" customHeight="1">
      <c r="I76" s="428">
        <v>74</v>
      </c>
      <c r="J76" s="460">
        <f t="shared" si="10"/>
        <v>52462.800714870151</v>
      </c>
      <c r="K76" s="428">
        <f t="shared" si="11"/>
        <v>41420.066439921146</v>
      </c>
      <c r="L76" s="460">
        <f t="shared" si="12"/>
        <v>11042.734274949005</v>
      </c>
      <c r="M76" s="461">
        <f t="shared" si="13"/>
        <v>4407097.6859833067</v>
      </c>
    </row>
    <row r="77" spans="9:13" ht="16.5" hidden="1" customHeight="1">
      <c r="I77" s="428">
        <v>75</v>
      </c>
      <c r="J77" s="460">
        <f t="shared" si="10"/>
        <v>52462.800714870151</v>
      </c>
      <c r="K77" s="428">
        <f t="shared" si="11"/>
        <v>41316.540806093501</v>
      </c>
      <c r="L77" s="460">
        <f t="shared" si="12"/>
        <v>11146.25990877665</v>
      </c>
      <c r="M77" s="461">
        <f t="shared" si="13"/>
        <v>4395951.42607453</v>
      </c>
    </row>
    <row r="78" spans="9:13" ht="16.5" hidden="1" customHeight="1">
      <c r="I78" s="428">
        <v>76</v>
      </c>
      <c r="J78" s="460">
        <f t="shared" si="10"/>
        <v>52462.800714870151</v>
      </c>
      <c r="K78" s="428">
        <f t="shared" si="11"/>
        <v>41212.044619448716</v>
      </c>
      <c r="L78" s="460">
        <f t="shared" si="12"/>
        <v>11250.756095421435</v>
      </c>
      <c r="M78" s="461">
        <f t="shared" si="13"/>
        <v>4384700.6699791085</v>
      </c>
    </row>
    <row r="79" spans="9:13" ht="16.5" hidden="1" customHeight="1">
      <c r="I79" s="428">
        <v>77</v>
      </c>
      <c r="J79" s="460">
        <f t="shared" si="10"/>
        <v>52462.800714870151</v>
      </c>
      <c r="K79" s="428">
        <f t="shared" si="11"/>
        <v>41106.568781054142</v>
      </c>
      <c r="L79" s="460">
        <f t="shared" si="12"/>
        <v>11356.231933816009</v>
      </c>
      <c r="M79" s="461">
        <f t="shared" si="13"/>
        <v>4373344.4380452922</v>
      </c>
    </row>
    <row r="80" spans="9:13" ht="16.5" hidden="1" customHeight="1">
      <c r="I80" s="428">
        <v>78</v>
      </c>
      <c r="J80" s="460">
        <f t="shared" si="10"/>
        <v>52462.800714870151</v>
      </c>
      <c r="K80" s="428">
        <f t="shared" si="11"/>
        <v>41000.104106674611</v>
      </c>
      <c r="L80" s="460">
        <f t="shared" si="12"/>
        <v>11462.69660819554</v>
      </c>
      <c r="M80" s="461">
        <f t="shared" si="13"/>
        <v>4361881.7414370971</v>
      </c>
    </row>
    <row r="81" spans="9:13" ht="16.5" hidden="1" customHeight="1">
      <c r="I81" s="428">
        <v>79</v>
      </c>
      <c r="J81" s="460">
        <f t="shared" si="10"/>
        <v>52462.800714870151</v>
      </c>
      <c r="K81" s="428">
        <f t="shared" si="11"/>
        <v>40892.641325972785</v>
      </c>
      <c r="L81" s="460">
        <f t="shared" si="12"/>
        <v>11570.159388897366</v>
      </c>
      <c r="M81" s="461">
        <f t="shared" si="13"/>
        <v>4350311.5820482001</v>
      </c>
    </row>
    <row r="82" spans="9:13" ht="16.5" hidden="1" customHeight="1">
      <c r="I82" s="428">
        <v>80</v>
      </c>
      <c r="J82" s="460">
        <f t="shared" si="10"/>
        <v>52462.800714870151</v>
      </c>
      <c r="K82" s="428">
        <f t="shared" si="11"/>
        <v>40784.171081701876</v>
      </c>
      <c r="L82" s="460">
        <f t="shared" si="12"/>
        <v>11678.629633168275</v>
      </c>
      <c r="M82" s="461">
        <f t="shared" si="13"/>
        <v>4338632.9524150314</v>
      </c>
    </row>
    <row r="83" spans="9:13" ht="16.5" hidden="1" customHeight="1">
      <c r="I83" s="428">
        <v>81</v>
      </c>
      <c r="J83" s="460">
        <f t="shared" si="10"/>
        <v>52462.800714870151</v>
      </c>
      <c r="K83" s="428">
        <f t="shared" si="11"/>
        <v>40674.683928890918</v>
      </c>
      <c r="L83" s="460">
        <f t="shared" si="12"/>
        <v>11788.116785979233</v>
      </c>
      <c r="M83" s="461">
        <f t="shared" si="13"/>
        <v>4326844.8356290525</v>
      </c>
    </row>
    <row r="84" spans="9:13" ht="16.5" hidden="1" customHeight="1">
      <c r="I84" s="428">
        <v>82</v>
      </c>
      <c r="J84" s="460">
        <f t="shared" si="10"/>
        <v>52462.800714870151</v>
      </c>
      <c r="K84" s="428">
        <f t="shared" si="11"/>
        <v>40564.170334022368</v>
      </c>
      <c r="L84" s="460">
        <f t="shared" si="12"/>
        <v>11898.630380847782</v>
      </c>
      <c r="M84" s="461">
        <f t="shared" si="13"/>
        <v>4314946.205248205</v>
      </c>
    </row>
    <row r="85" spans="9:13" ht="16.5" hidden="1" customHeight="1">
      <c r="I85" s="428">
        <v>83</v>
      </c>
      <c r="J85" s="460">
        <f t="shared" si="10"/>
        <v>52462.800714870151</v>
      </c>
      <c r="K85" s="428">
        <f t="shared" si="11"/>
        <v>40452.62067420192</v>
      </c>
      <c r="L85" s="460">
        <f t="shared" si="12"/>
        <v>12010.180040668231</v>
      </c>
      <c r="M85" s="461">
        <f t="shared" si="13"/>
        <v>4302936.0252075363</v>
      </c>
    </row>
    <row r="86" spans="9:13" ht="16.5" hidden="1" customHeight="1">
      <c r="I86" s="428">
        <v>84</v>
      </c>
      <c r="J86" s="460">
        <f t="shared" si="10"/>
        <v>52462.800714870151</v>
      </c>
      <c r="K86" s="428">
        <f t="shared" si="11"/>
        <v>40340.025236320653</v>
      </c>
      <c r="L86" s="460">
        <f t="shared" si="12"/>
        <v>12122.775478549498</v>
      </c>
      <c r="M86" s="461">
        <f t="shared" si="13"/>
        <v>4290813.249728987</v>
      </c>
    </row>
    <row r="87" spans="9:13" ht="16.5" hidden="1" customHeight="1">
      <c r="I87" s="428">
        <v>85</v>
      </c>
      <c r="J87" s="460">
        <f t="shared" si="10"/>
        <v>52462.800714870151</v>
      </c>
      <c r="K87" s="428">
        <f t="shared" si="11"/>
        <v>40226.374216209253</v>
      </c>
      <c r="L87" s="460">
        <f t="shared" si="12"/>
        <v>12236.426498660898</v>
      </c>
      <c r="M87" s="461">
        <f t="shared" si="13"/>
        <v>4278576.8232303262</v>
      </c>
    </row>
    <row r="88" spans="9:13" ht="16.5" hidden="1" customHeight="1">
      <c r="I88" s="428">
        <v>86</v>
      </c>
      <c r="J88" s="460">
        <f t="shared" si="10"/>
        <v>52462.800714870151</v>
      </c>
      <c r="K88" s="428">
        <f t="shared" si="11"/>
        <v>40111.657717784306</v>
      </c>
      <c r="L88" s="460">
        <f t="shared" si="12"/>
        <v>12351.142997085844</v>
      </c>
      <c r="M88" s="461">
        <f t="shared" si="13"/>
        <v>4266225.6802332401</v>
      </c>
    </row>
    <row r="89" spans="9:13" ht="16.5" hidden="1" customHeight="1">
      <c r="I89" s="428">
        <v>87</v>
      </c>
      <c r="J89" s="460">
        <f t="shared" si="10"/>
        <v>52462.800714870151</v>
      </c>
      <c r="K89" s="428">
        <f t="shared" si="11"/>
        <v>39995.865752186626</v>
      </c>
      <c r="L89" s="460">
        <f t="shared" si="12"/>
        <v>12466.934962683525</v>
      </c>
      <c r="M89" s="461">
        <f t="shared" si="13"/>
        <v>4253758.7452705568</v>
      </c>
    </row>
    <row r="90" spans="9:13" ht="16.5" hidden="1" customHeight="1">
      <c r="I90" s="428">
        <v>88</v>
      </c>
      <c r="J90" s="460">
        <f t="shared" si="10"/>
        <v>52462.800714870151</v>
      </c>
      <c r="K90" s="428">
        <f t="shared" si="11"/>
        <v>39878.988236911471</v>
      </c>
      <c r="L90" s="460">
        <f t="shared" si="12"/>
        <v>12583.81247795868</v>
      </c>
      <c r="M90" s="461">
        <f t="shared" si="13"/>
        <v>4241174.9327925984</v>
      </c>
    </row>
    <row r="91" spans="9:13" ht="16.5" hidden="1" customHeight="1">
      <c r="I91" s="428">
        <v>89</v>
      </c>
      <c r="J91" s="460">
        <f t="shared" si="10"/>
        <v>52462.800714870151</v>
      </c>
      <c r="K91" s="428">
        <f t="shared" si="11"/>
        <v>39761.014994930607</v>
      </c>
      <c r="L91" s="460">
        <f t="shared" si="12"/>
        <v>12701.785719939544</v>
      </c>
      <c r="M91" s="461">
        <f t="shared" si="13"/>
        <v>4228473.1470726589</v>
      </c>
    </row>
    <row r="92" spans="9:13" ht="16.5" hidden="1" customHeight="1">
      <c r="I92" s="428">
        <v>90</v>
      </c>
      <c r="J92" s="460">
        <f t="shared" si="10"/>
        <v>52462.800714870151</v>
      </c>
      <c r="K92" s="428">
        <f t="shared" si="11"/>
        <v>39641.935753806174</v>
      </c>
      <c r="L92" s="460">
        <f t="shared" si="12"/>
        <v>12820.864961063977</v>
      </c>
      <c r="M92" s="461">
        <f t="shared" si="13"/>
        <v>4215652.2821115945</v>
      </c>
    </row>
    <row r="93" spans="9:13" ht="16.5" hidden="1" customHeight="1">
      <c r="I93" s="428">
        <v>91</v>
      </c>
      <c r="J93" s="460">
        <f t="shared" si="10"/>
        <v>52462.800714870151</v>
      </c>
      <c r="K93" s="428">
        <f t="shared" si="11"/>
        <v>39521.740144796197</v>
      </c>
      <c r="L93" s="460">
        <f t="shared" si="12"/>
        <v>12941.060570073954</v>
      </c>
      <c r="M93" s="461">
        <f t="shared" si="13"/>
        <v>4202711.2215415202</v>
      </c>
    </row>
    <row r="94" spans="9:13" ht="16.5" hidden="1" customHeight="1">
      <c r="I94" s="428">
        <v>92</v>
      </c>
      <c r="J94" s="460">
        <f t="shared" si="10"/>
        <v>52462.800714870151</v>
      </c>
      <c r="K94" s="428">
        <f t="shared" si="11"/>
        <v>39400.417701951752</v>
      </c>
      <c r="L94" s="460">
        <f t="shared" si="12"/>
        <v>13062.383012918399</v>
      </c>
      <c r="M94" s="461">
        <f t="shared" si="13"/>
        <v>4189648.8385286019</v>
      </c>
    </row>
    <row r="95" spans="9:13" ht="16.5" hidden="1" customHeight="1">
      <c r="I95" s="428">
        <v>93</v>
      </c>
      <c r="J95" s="460">
        <f t="shared" si="10"/>
        <v>52462.800714870151</v>
      </c>
      <c r="K95" s="428">
        <f t="shared" si="11"/>
        <v>39277.957861205643</v>
      </c>
      <c r="L95" s="460">
        <f t="shared" si="12"/>
        <v>13184.842853664508</v>
      </c>
      <c r="M95" s="461">
        <f t="shared" si="13"/>
        <v>4176463.9956749375</v>
      </c>
    </row>
    <row r="96" spans="9:13" ht="16.5" hidden="1" customHeight="1">
      <c r="I96" s="428">
        <v>94</v>
      </c>
      <c r="J96" s="460">
        <f t="shared" si="10"/>
        <v>52462.800714870151</v>
      </c>
      <c r="K96" s="428">
        <f t="shared" si="11"/>
        <v>39154.349959452535</v>
      </c>
      <c r="L96" s="460">
        <f t="shared" si="12"/>
        <v>13308.450755417616</v>
      </c>
      <c r="M96" s="461">
        <f t="shared" si="13"/>
        <v>4163155.5449195197</v>
      </c>
    </row>
    <row r="97" spans="9:13" ht="16.5" hidden="1" customHeight="1">
      <c r="I97" s="428">
        <v>95</v>
      </c>
      <c r="J97" s="460">
        <f t="shared" si="10"/>
        <v>52462.800714870151</v>
      </c>
      <c r="K97" s="428">
        <f t="shared" si="11"/>
        <v>39029.583233620499</v>
      </c>
      <c r="L97" s="460">
        <f t="shared" si="12"/>
        <v>13433.217481249652</v>
      </c>
      <c r="M97" s="461">
        <f t="shared" si="13"/>
        <v>4149722.3274382702</v>
      </c>
    </row>
    <row r="98" spans="9:13" ht="16.5" hidden="1" customHeight="1">
      <c r="I98" s="428">
        <v>96</v>
      </c>
      <c r="J98" s="460">
        <f t="shared" si="10"/>
        <v>52462.800714870151</v>
      </c>
      <c r="K98" s="428">
        <f t="shared" si="11"/>
        <v>38903.646819733782</v>
      </c>
      <c r="L98" s="460">
        <f t="shared" si="12"/>
        <v>13559.153895136369</v>
      </c>
      <c r="M98" s="461">
        <f t="shared" si="13"/>
        <v>4136163.1735431338</v>
      </c>
    </row>
    <row r="99" spans="9:13" ht="16.5" hidden="1" customHeight="1">
      <c r="I99" s="428">
        <v>97</v>
      </c>
      <c r="J99" s="460">
        <f t="shared" si="10"/>
        <v>52462.800714870151</v>
      </c>
      <c r="K99" s="428">
        <f t="shared" si="11"/>
        <v>38776.529751966875</v>
      </c>
      <c r="L99" s="460">
        <f t="shared" si="12"/>
        <v>13686.270962903276</v>
      </c>
      <c r="M99" s="461">
        <f t="shared" si="13"/>
        <v>4122476.9025802305</v>
      </c>
    </row>
    <row r="100" spans="9:13" ht="16.5" hidden="1" customHeight="1">
      <c r="I100" s="428">
        <v>98</v>
      </c>
      <c r="J100" s="460">
        <f t="shared" si="10"/>
        <v>52462.800714870151</v>
      </c>
      <c r="K100" s="428">
        <f t="shared" si="11"/>
        <v>38648.220961689658</v>
      </c>
      <c r="L100" s="460">
        <f t="shared" si="12"/>
        <v>13814.579753180493</v>
      </c>
      <c r="M100" s="461">
        <f t="shared" si="13"/>
        <v>4108662.32282705</v>
      </c>
    </row>
    <row r="101" spans="9:13" ht="16.5" hidden="1" customHeight="1">
      <c r="I101" s="428">
        <v>99</v>
      </c>
      <c r="J101" s="460">
        <f t="shared" si="10"/>
        <v>52462.800714870151</v>
      </c>
      <c r="K101" s="428">
        <f t="shared" si="11"/>
        <v>38518.709276503592</v>
      </c>
      <c r="L101" s="460">
        <f t="shared" si="12"/>
        <v>13944.091438366559</v>
      </c>
      <c r="M101" s="461">
        <f t="shared" si="13"/>
        <v>4094718.2313886834</v>
      </c>
    </row>
    <row r="102" spans="9:13" ht="16.5" hidden="1" customHeight="1">
      <c r="I102" s="428">
        <v>100</v>
      </c>
      <c r="J102" s="460">
        <f t="shared" si="10"/>
        <v>52462.800714870151</v>
      </c>
      <c r="K102" s="428">
        <f t="shared" si="11"/>
        <v>38387.983419268909</v>
      </c>
      <c r="L102" s="460">
        <f t="shared" si="12"/>
        <v>14074.817295601242</v>
      </c>
      <c r="M102" s="461">
        <f t="shared" si="13"/>
        <v>4080643.4140930823</v>
      </c>
    </row>
    <row r="103" spans="9:13" ht="16.5" hidden="1" customHeight="1">
      <c r="I103" s="428">
        <v>101</v>
      </c>
      <c r="J103" s="460">
        <f t="shared" si="10"/>
        <v>52462.800714870151</v>
      </c>
      <c r="K103" s="428">
        <f t="shared" si="11"/>
        <v>38256.032007122645</v>
      </c>
      <c r="L103" s="460">
        <f t="shared" si="12"/>
        <v>14206.768707747506</v>
      </c>
      <c r="M103" s="461">
        <f t="shared" si="13"/>
        <v>4066436.6453853347</v>
      </c>
    </row>
    <row r="104" spans="9:13" ht="16.5" hidden="1" customHeight="1">
      <c r="I104" s="428">
        <v>102</v>
      </c>
      <c r="J104" s="460">
        <f t="shared" si="10"/>
        <v>52462.800714870151</v>
      </c>
      <c r="K104" s="428">
        <f t="shared" si="11"/>
        <v>38122.843550487509</v>
      </c>
      <c r="L104" s="460">
        <f t="shared" si="12"/>
        <v>14339.957164382642</v>
      </c>
      <c r="M104" s="461">
        <f t="shared" si="13"/>
        <v>4052096.6882209522</v>
      </c>
    </row>
    <row r="105" spans="9:13" ht="16.5" hidden="1" customHeight="1">
      <c r="I105" s="428">
        <v>103</v>
      </c>
      <c r="J105" s="460">
        <f t="shared" si="10"/>
        <v>52462.800714870151</v>
      </c>
      <c r="K105" s="428">
        <f t="shared" si="11"/>
        <v>37988.406452071424</v>
      </c>
      <c r="L105" s="460">
        <f t="shared" si="12"/>
        <v>14474.394262798727</v>
      </c>
      <c r="M105" s="461">
        <f t="shared" si="13"/>
        <v>4037622.2939581536</v>
      </c>
    </row>
    <row r="106" spans="9:13" ht="16.5" hidden="1" customHeight="1">
      <c r="I106" s="428">
        <v>104</v>
      </c>
      <c r="J106" s="460">
        <f t="shared" si="10"/>
        <v>52462.800714870151</v>
      </c>
      <c r="K106" s="428">
        <f t="shared" si="11"/>
        <v>37852.709005857687</v>
      </c>
      <c r="L106" s="460">
        <f t="shared" si="12"/>
        <v>14610.091709012464</v>
      </c>
      <c r="M106" s="461">
        <f t="shared" si="13"/>
        <v>4023012.2022491409</v>
      </c>
    </row>
    <row r="107" spans="9:13" ht="16.5" hidden="1" customHeight="1">
      <c r="I107" s="428">
        <v>105</v>
      </c>
      <c r="J107" s="460">
        <f t="shared" si="10"/>
        <v>52462.800714870151</v>
      </c>
      <c r="K107" s="428">
        <f t="shared" si="11"/>
        <v>37715.739396085693</v>
      </c>
      <c r="L107" s="460">
        <f t="shared" si="12"/>
        <v>14747.061318784457</v>
      </c>
      <c r="M107" s="461">
        <f t="shared" si="13"/>
        <v>4008265.1409303565</v>
      </c>
    </row>
    <row r="108" spans="9:13" ht="16.5" hidden="1" customHeight="1">
      <c r="I108" s="428">
        <v>106</v>
      </c>
      <c r="J108" s="460">
        <f t="shared" si="10"/>
        <v>52462.800714870151</v>
      </c>
      <c r="K108" s="428">
        <f t="shared" si="11"/>
        <v>37577.485696222087</v>
      </c>
      <c r="L108" s="460">
        <f t="shared" si="12"/>
        <v>14885.315018648063</v>
      </c>
      <c r="M108" s="461">
        <f t="shared" si="13"/>
        <v>3993379.8259117082</v>
      </c>
    </row>
    <row r="109" spans="9:13" ht="16.5" hidden="1" customHeight="1">
      <c r="I109" s="428">
        <v>107</v>
      </c>
      <c r="J109" s="460">
        <f t="shared" si="10"/>
        <v>52462.800714870151</v>
      </c>
      <c r="K109" s="428">
        <f t="shared" si="11"/>
        <v>37437.935867922264</v>
      </c>
      <c r="L109" s="460">
        <f t="shared" si="12"/>
        <v>15024.864846947887</v>
      </c>
      <c r="M109" s="461">
        <f t="shared" si="13"/>
        <v>3978354.9610647601</v>
      </c>
    </row>
    <row r="110" spans="9:13" ht="16.5" hidden="1" customHeight="1">
      <c r="I110" s="428">
        <v>108</v>
      </c>
      <c r="J110" s="460">
        <f t="shared" si="10"/>
        <v>52462.800714870151</v>
      </c>
      <c r="K110" s="428">
        <f t="shared" si="11"/>
        <v>37297.077759982123</v>
      </c>
      <c r="L110" s="460">
        <f t="shared" si="12"/>
        <v>15165.722954888028</v>
      </c>
      <c r="M110" s="461">
        <f t="shared" si="13"/>
        <v>3963189.2381098722</v>
      </c>
    </row>
    <row r="111" spans="9:13" ht="16.5" hidden="1" customHeight="1">
      <c r="I111" s="428">
        <v>109</v>
      </c>
      <c r="J111" s="460">
        <f t="shared" si="10"/>
        <v>52462.800714870151</v>
      </c>
      <c r="K111" s="428">
        <f t="shared" si="11"/>
        <v>37154.899107280049</v>
      </c>
      <c r="L111" s="460">
        <f t="shared" si="12"/>
        <v>15307.901607590102</v>
      </c>
      <c r="M111" s="461">
        <f t="shared" si="13"/>
        <v>3947881.3365022819</v>
      </c>
    </row>
    <row r="112" spans="9:13" ht="16.5" hidden="1" customHeight="1">
      <c r="I112" s="428">
        <v>110</v>
      </c>
      <c r="J112" s="460">
        <f t="shared" si="10"/>
        <v>52462.800714870151</v>
      </c>
      <c r="K112" s="428">
        <f t="shared" si="11"/>
        <v>37011.387529708889</v>
      </c>
      <c r="L112" s="460">
        <f t="shared" si="12"/>
        <v>15451.413185161262</v>
      </c>
      <c r="M112" s="461">
        <f t="shared" si="13"/>
        <v>3932429.9233171209</v>
      </c>
    </row>
    <row r="113" spans="9:13" ht="16.5" hidden="1" customHeight="1">
      <c r="I113" s="428">
        <v>111</v>
      </c>
      <c r="J113" s="460">
        <f t="shared" si="10"/>
        <v>52462.800714870151</v>
      </c>
      <c r="K113" s="428">
        <f t="shared" si="11"/>
        <v>36866.530531098004</v>
      </c>
      <c r="L113" s="460">
        <f t="shared" si="12"/>
        <v>15596.270183772147</v>
      </c>
      <c r="M113" s="461">
        <f t="shared" si="13"/>
        <v>3916833.6531333486</v>
      </c>
    </row>
    <row r="114" spans="9:13" ht="16.5" hidden="1" customHeight="1">
      <c r="I114" s="428">
        <v>112</v>
      </c>
      <c r="J114" s="460">
        <f t="shared" si="10"/>
        <v>52462.800714870151</v>
      </c>
      <c r="K114" s="428">
        <f t="shared" si="11"/>
        <v>36720.315498125143</v>
      </c>
      <c r="L114" s="460">
        <f t="shared" si="12"/>
        <v>15742.485216745008</v>
      </c>
      <c r="M114" s="461">
        <f t="shared" si="13"/>
        <v>3901091.1679166034</v>
      </c>
    </row>
    <row r="115" spans="9:13" ht="16.5" hidden="1" customHeight="1">
      <c r="I115" s="428">
        <v>113</v>
      </c>
      <c r="J115" s="460">
        <f t="shared" si="10"/>
        <v>52462.800714870151</v>
      </c>
      <c r="K115" s="428">
        <f t="shared" si="11"/>
        <v>36572.729699218158</v>
      </c>
      <c r="L115" s="460">
        <f t="shared" si="12"/>
        <v>15890.071015651993</v>
      </c>
      <c r="M115" s="461">
        <f t="shared" si="13"/>
        <v>3885201.0969009516</v>
      </c>
    </row>
    <row r="116" spans="9:13" ht="16.5" hidden="1" customHeight="1">
      <c r="I116" s="428">
        <v>114</v>
      </c>
      <c r="J116" s="460">
        <f t="shared" si="10"/>
        <v>52462.800714870151</v>
      </c>
      <c r="K116" s="428">
        <f t="shared" si="11"/>
        <v>36423.76028344642</v>
      </c>
      <c r="L116" s="460">
        <f t="shared" si="12"/>
        <v>16039.040431423731</v>
      </c>
      <c r="M116" s="461">
        <f t="shared" si="13"/>
        <v>3869162.056469528</v>
      </c>
    </row>
    <row r="117" spans="9:13" ht="16.5" hidden="1" customHeight="1">
      <c r="I117" s="428">
        <v>115</v>
      </c>
      <c r="J117" s="460">
        <f t="shared" si="10"/>
        <v>52462.800714870151</v>
      </c>
      <c r="K117" s="428">
        <f t="shared" si="11"/>
        <v>36273.394279401822</v>
      </c>
      <c r="L117" s="460">
        <f t="shared" si="12"/>
        <v>16189.406435468329</v>
      </c>
      <c r="M117" s="461">
        <f t="shared" si="13"/>
        <v>3852972.6500340598</v>
      </c>
    </row>
    <row r="118" spans="9:13" ht="16.5" hidden="1" customHeight="1">
      <c r="I118" s="428">
        <v>116</v>
      </c>
      <c r="J118" s="460">
        <f t="shared" si="10"/>
        <v>52462.800714870151</v>
      </c>
      <c r="K118" s="428">
        <f t="shared" si="11"/>
        <v>36121.61859406931</v>
      </c>
      <c r="L118" s="460">
        <f t="shared" si="12"/>
        <v>16341.18212080084</v>
      </c>
      <c r="M118" s="461">
        <f t="shared" si="13"/>
        <v>3836631.4679132588</v>
      </c>
    </row>
    <row r="119" spans="9:13" ht="16.5" hidden="1" customHeight="1">
      <c r="I119" s="428">
        <v>117</v>
      </c>
      <c r="J119" s="460">
        <f t="shared" si="10"/>
        <v>52462.800714870151</v>
      </c>
      <c r="K119" s="428">
        <f t="shared" si="11"/>
        <v>35968.420011686801</v>
      </c>
      <c r="L119" s="460">
        <f t="shared" si="12"/>
        <v>16494.380703183349</v>
      </c>
      <c r="M119" s="461">
        <f t="shared" si="13"/>
        <v>3820137.0872100755</v>
      </c>
    </row>
    <row r="120" spans="9:13" ht="16.5" hidden="1" customHeight="1">
      <c r="I120" s="428">
        <v>118</v>
      </c>
      <c r="J120" s="460">
        <f t="shared" si="10"/>
        <v>52462.800714870151</v>
      </c>
      <c r="K120" s="428">
        <f t="shared" si="11"/>
        <v>35813.785192594456</v>
      </c>
      <c r="L120" s="460">
        <f t="shared" si="12"/>
        <v>16649.015522275695</v>
      </c>
      <c r="M120" s="461">
        <f t="shared" si="13"/>
        <v>3803488.0716877999</v>
      </c>
    </row>
    <row r="121" spans="9:13" ht="16.5" hidden="1" customHeight="1">
      <c r="I121" s="428">
        <v>119</v>
      </c>
      <c r="J121" s="460">
        <f t="shared" si="10"/>
        <v>52462.800714870151</v>
      </c>
      <c r="K121" s="428">
        <f t="shared" si="11"/>
        <v>35657.700672073122</v>
      </c>
      <c r="L121" s="460">
        <f t="shared" si="12"/>
        <v>16805.100042797028</v>
      </c>
      <c r="M121" s="461">
        <f t="shared" si="13"/>
        <v>3786682.9716450027</v>
      </c>
    </row>
    <row r="122" spans="9:13" ht="16.5" hidden="1" customHeight="1">
      <c r="I122" s="428">
        <v>120</v>
      </c>
      <c r="J122" s="460">
        <f t="shared" si="10"/>
        <v>52462.800714870151</v>
      </c>
      <c r="K122" s="428">
        <f t="shared" si="11"/>
        <v>35500.152859171896</v>
      </c>
      <c r="L122" s="460">
        <f t="shared" si="12"/>
        <v>16962.647855698255</v>
      </c>
      <c r="M122" s="461">
        <f t="shared" si="13"/>
        <v>3769720.3237893046</v>
      </c>
    </row>
    <row r="123" spans="9:13" ht="16.5" hidden="1" customHeight="1">
      <c r="I123" s="428">
        <v>121</v>
      </c>
      <c r="J123" s="460">
        <f t="shared" si="10"/>
        <v>52462.800714870151</v>
      </c>
      <c r="K123" s="428">
        <f t="shared" si="11"/>
        <v>35341.128035524729</v>
      </c>
      <c r="L123" s="460">
        <f t="shared" si="12"/>
        <v>17121.672679345422</v>
      </c>
      <c r="M123" s="461">
        <f t="shared" si="13"/>
        <v>3752598.651109959</v>
      </c>
    </row>
    <row r="124" spans="9:13" ht="16.5" hidden="1" customHeight="1">
      <c r="I124" s="428">
        <v>122</v>
      </c>
      <c r="J124" s="460">
        <f t="shared" si="10"/>
        <v>52462.800714870151</v>
      </c>
      <c r="K124" s="428">
        <f t="shared" si="11"/>
        <v>35180.612354155863</v>
      </c>
      <c r="L124" s="460">
        <f t="shared" si="12"/>
        <v>17282.188360714288</v>
      </c>
      <c r="M124" s="461">
        <f t="shared" si="13"/>
        <v>3735316.4627492446</v>
      </c>
    </row>
    <row r="125" spans="9:13" ht="16.5" hidden="1" customHeight="1">
      <c r="I125" s="428">
        <v>123</v>
      </c>
      <c r="J125" s="460">
        <f t="shared" si="10"/>
        <v>52462.800714870151</v>
      </c>
      <c r="K125" s="428">
        <f t="shared" si="11"/>
        <v>35018.591838274166</v>
      </c>
      <c r="L125" s="460">
        <f t="shared" si="12"/>
        <v>17444.208876595985</v>
      </c>
      <c r="M125" s="461">
        <f t="shared" si="13"/>
        <v>3717872.2538726488</v>
      </c>
    </row>
    <row r="126" spans="9:13" ht="16.5" hidden="1" customHeight="1">
      <c r="I126" s="428">
        <v>124</v>
      </c>
      <c r="J126" s="460">
        <f t="shared" si="10"/>
        <v>52462.800714870151</v>
      </c>
      <c r="K126" s="428">
        <f t="shared" si="11"/>
        <v>34855.052380056084</v>
      </c>
      <c r="L126" s="460">
        <f t="shared" si="12"/>
        <v>17607.748334814067</v>
      </c>
      <c r="M126" s="461">
        <f t="shared" si="13"/>
        <v>3700264.5055378349</v>
      </c>
    </row>
    <row r="127" spans="9:13" ht="16.5" hidden="1" customHeight="1">
      <c r="I127" s="428">
        <v>125</v>
      </c>
      <c r="J127" s="460">
        <f t="shared" si="10"/>
        <v>52462.800714870151</v>
      </c>
      <c r="K127" s="428">
        <f t="shared" si="11"/>
        <v>34689.979739417198</v>
      </c>
      <c r="L127" s="460">
        <f t="shared" si="12"/>
        <v>17772.820975452953</v>
      </c>
      <c r="M127" s="461">
        <f t="shared" si="13"/>
        <v>3682491.6845623818</v>
      </c>
    </row>
    <row r="128" spans="9:13" ht="16.5" hidden="1" customHeight="1">
      <c r="I128" s="428">
        <v>126</v>
      </c>
      <c r="J128" s="460">
        <f t="shared" si="10"/>
        <v>52462.800714870151</v>
      </c>
      <c r="K128" s="428">
        <f t="shared" si="11"/>
        <v>34523.359542772327</v>
      </c>
      <c r="L128" s="460">
        <f t="shared" si="12"/>
        <v>17939.441172097824</v>
      </c>
      <c r="M128" s="461">
        <f t="shared" si="13"/>
        <v>3664552.243390284</v>
      </c>
    </row>
    <row r="129" spans="9:13" ht="16.5" hidden="1" customHeight="1">
      <c r="I129" s="428">
        <v>127</v>
      </c>
      <c r="J129" s="460">
        <f t="shared" si="10"/>
        <v>52462.800714870151</v>
      </c>
      <c r="K129" s="428">
        <f t="shared" si="11"/>
        <v>34355.177281783908</v>
      </c>
      <c r="L129" s="460">
        <f t="shared" si="12"/>
        <v>18107.623433086243</v>
      </c>
      <c r="M129" s="461">
        <f t="shared" si="13"/>
        <v>3646444.6199571979</v>
      </c>
    </row>
    <row r="130" spans="9:13" ht="16.5" hidden="1" customHeight="1">
      <c r="I130" s="428">
        <v>128</v>
      </c>
      <c r="J130" s="460">
        <f t="shared" si="10"/>
        <v>52462.800714870151</v>
      </c>
      <c r="K130" s="428">
        <f t="shared" si="11"/>
        <v>34185.418312098729</v>
      </c>
      <c r="L130" s="460">
        <f t="shared" si="12"/>
        <v>18277.382402771422</v>
      </c>
      <c r="M130" s="461">
        <f t="shared" si="13"/>
        <v>3628167.2375544263</v>
      </c>
    </row>
    <row r="131" spans="9:13" ht="16.5" hidden="1" customHeight="1">
      <c r="I131" s="428">
        <v>129</v>
      </c>
      <c r="J131" s="460">
        <f t="shared" si="10"/>
        <v>52462.800714870151</v>
      </c>
      <c r="K131" s="428">
        <f t="shared" si="11"/>
        <v>34014.067852072745</v>
      </c>
      <c r="L131" s="460">
        <f t="shared" si="12"/>
        <v>18448.732862797406</v>
      </c>
      <c r="M131" s="461">
        <f t="shared" si="13"/>
        <v>3609718.5046916287</v>
      </c>
    </row>
    <row r="132" spans="9:13" ht="16.5" hidden="1" customHeight="1">
      <c r="I132" s="428">
        <v>130</v>
      </c>
      <c r="J132" s="460">
        <f t="shared" ref="J132:J195" si="14">$C$7</f>
        <v>52462.800714870151</v>
      </c>
      <c r="K132" s="428">
        <f t="shared" ref="K132:K195" si="15">M131*($C$5/12)</f>
        <v>33841.110981484017</v>
      </c>
      <c r="L132" s="460">
        <f t="shared" ref="L132:L195" si="16">J132-K132</f>
        <v>18621.689733386134</v>
      </c>
      <c r="M132" s="461">
        <f t="shared" ref="M132:M195" si="17">M131-L132</f>
        <v>3591096.8149582427</v>
      </c>
    </row>
    <row r="133" spans="9:13" ht="16.5" hidden="1" customHeight="1">
      <c r="I133" s="428">
        <v>131</v>
      </c>
      <c r="J133" s="460">
        <f t="shared" si="14"/>
        <v>52462.800714870151</v>
      </c>
      <c r="K133" s="428">
        <f t="shared" si="15"/>
        <v>33666.532640233527</v>
      </c>
      <c r="L133" s="460">
        <f t="shared" si="16"/>
        <v>18796.268074636624</v>
      </c>
      <c r="M133" s="461">
        <f t="shared" si="17"/>
        <v>3572300.5468836059</v>
      </c>
    </row>
    <row r="134" spans="9:13" ht="16.5" hidden="1" customHeight="1">
      <c r="I134" s="428">
        <v>132</v>
      </c>
      <c r="J134" s="460">
        <f t="shared" si="14"/>
        <v>52462.800714870151</v>
      </c>
      <c r="K134" s="428">
        <f t="shared" si="15"/>
        <v>33490.317627033801</v>
      </c>
      <c r="L134" s="460">
        <f t="shared" si="16"/>
        <v>18972.48308783635</v>
      </c>
      <c r="M134" s="461">
        <f t="shared" si="17"/>
        <v>3553328.0637957696</v>
      </c>
    </row>
    <row r="135" spans="9:13" ht="16.5" hidden="1" customHeight="1">
      <c r="I135" s="428">
        <v>133</v>
      </c>
      <c r="J135" s="460">
        <f t="shared" si="14"/>
        <v>52462.800714870151</v>
      </c>
      <c r="K135" s="428">
        <f t="shared" si="15"/>
        <v>33312.450598085336</v>
      </c>
      <c r="L135" s="460">
        <f t="shared" si="16"/>
        <v>19150.350116784815</v>
      </c>
      <c r="M135" s="461">
        <f t="shared" si="17"/>
        <v>3534177.7136789849</v>
      </c>
    </row>
    <row r="136" spans="9:13" ht="16.5" hidden="1" customHeight="1">
      <c r="I136" s="428">
        <v>134</v>
      </c>
      <c r="J136" s="460">
        <f t="shared" si="14"/>
        <v>52462.800714870151</v>
      </c>
      <c r="K136" s="428">
        <f t="shared" si="15"/>
        <v>33132.916065740479</v>
      </c>
      <c r="L136" s="460">
        <f t="shared" si="16"/>
        <v>19329.884649129672</v>
      </c>
      <c r="M136" s="461">
        <f t="shared" si="17"/>
        <v>3514847.8290298553</v>
      </c>
    </row>
    <row r="137" spans="9:13" ht="16.5" hidden="1" customHeight="1">
      <c r="I137" s="428">
        <v>135</v>
      </c>
      <c r="J137" s="460">
        <f t="shared" si="14"/>
        <v>52462.800714870151</v>
      </c>
      <c r="K137" s="428">
        <f t="shared" si="15"/>
        <v>32951.698397154891</v>
      </c>
      <c r="L137" s="460">
        <f t="shared" si="16"/>
        <v>19511.10231771526</v>
      </c>
      <c r="M137" s="461">
        <f t="shared" si="17"/>
        <v>3495336.7267121403</v>
      </c>
    </row>
    <row r="138" spans="9:13" ht="16.5" hidden="1" customHeight="1">
      <c r="I138" s="428">
        <v>136</v>
      </c>
      <c r="J138" s="460">
        <f t="shared" si="14"/>
        <v>52462.800714870151</v>
      </c>
      <c r="K138" s="428">
        <f t="shared" si="15"/>
        <v>32768.781812926311</v>
      </c>
      <c r="L138" s="460">
        <f t="shared" si="16"/>
        <v>19694.01890194384</v>
      </c>
      <c r="M138" s="461">
        <f t="shared" si="17"/>
        <v>3475642.7078101966</v>
      </c>
    </row>
    <row r="139" spans="9:13" ht="16.5" hidden="1" customHeight="1">
      <c r="I139" s="428">
        <v>137</v>
      </c>
      <c r="J139" s="460">
        <f t="shared" si="14"/>
        <v>52462.800714870151</v>
      </c>
      <c r="K139" s="428">
        <f t="shared" si="15"/>
        <v>32584.15038572059</v>
      </c>
      <c r="L139" s="460">
        <f t="shared" si="16"/>
        <v>19878.650329149561</v>
      </c>
      <c r="M139" s="461">
        <f t="shared" si="17"/>
        <v>3455764.0574810468</v>
      </c>
    </row>
    <row r="140" spans="9:13" ht="16.5" hidden="1" customHeight="1">
      <c r="I140" s="428">
        <v>138</v>
      </c>
      <c r="J140" s="460">
        <f t="shared" si="14"/>
        <v>52462.800714870151</v>
      </c>
      <c r="K140" s="428">
        <f t="shared" si="15"/>
        <v>32397.788038884813</v>
      </c>
      <c r="L140" s="460">
        <f t="shared" si="16"/>
        <v>20065.012675985337</v>
      </c>
      <c r="M140" s="461">
        <f t="shared" si="17"/>
        <v>3435699.0448050615</v>
      </c>
    </row>
    <row r="141" spans="9:13" ht="16.5" hidden="1" customHeight="1">
      <c r="I141" s="428">
        <v>139</v>
      </c>
      <c r="J141" s="460">
        <f t="shared" si="14"/>
        <v>52462.800714870151</v>
      </c>
      <c r="K141" s="428">
        <f t="shared" si="15"/>
        <v>32209.678545047449</v>
      </c>
      <c r="L141" s="460">
        <f t="shared" si="16"/>
        <v>20253.122169822702</v>
      </c>
      <c r="M141" s="461">
        <f t="shared" si="17"/>
        <v>3415445.9226352386</v>
      </c>
    </row>
    <row r="142" spans="9:13" ht="16.5" hidden="1" customHeight="1">
      <c r="I142" s="428">
        <v>140</v>
      </c>
      <c r="J142" s="460">
        <f t="shared" si="14"/>
        <v>52462.800714870151</v>
      </c>
      <c r="K142" s="428">
        <f t="shared" si="15"/>
        <v>32019.80552470536</v>
      </c>
      <c r="L142" s="460">
        <f t="shared" si="16"/>
        <v>20442.995190164791</v>
      </c>
      <c r="M142" s="461">
        <f t="shared" si="17"/>
        <v>3395002.9274450736</v>
      </c>
    </row>
    <row r="143" spans="9:13" ht="16.5" hidden="1" customHeight="1">
      <c r="I143" s="428">
        <v>141</v>
      </c>
      <c r="J143" s="460">
        <f t="shared" si="14"/>
        <v>52462.800714870151</v>
      </c>
      <c r="K143" s="428">
        <f t="shared" si="15"/>
        <v>31828.152444797564</v>
      </c>
      <c r="L143" s="460">
        <f t="shared" si="16"/>
        <v>20634.648270072586</v>
      </c>
      <c r="M143" s="461">
        <f t="shared" si="17"/>
        <v>3374368.2791750012</v>
      </c>
    </row>
    <row r="144" spans="9:13" ht="16.5" hidden="1" customHeight="1">
      <c r="I144" s="428">
        <v>142</v>
      </c>
      <c r="J144" s="460">
        <f t="shared" si="14"/>
        <v>52462.800714870151</v>
      </c>
      <c r="K144" s="428">
        <f t="shared" si="15"/>
        <v>31634.702617265633</v>
      </c>
      <c r="L144" s="460">
        <f t="shared" si="16"/>
        <v>20828.098097604518</v>
      </c>
      <c r="M144" s="461">
        <f t="shared" si="17"/>
        <v>3353540.1810773965</v>
      </c>
    </row>
    <row r="145" spans="9:13" ht="16.5" hidden="1" customHeight="1">
      <c r="I145" s="428">
        <v>143</v>
      </c>
      <c r="J145" s="460">
        <f t="shared" si="14"/>
        <v>52462.800714870151</v>
      </c>
      <c r="K145" s="428">
        <f t="shared" si="15"/>
        <v>31439.43919760059</v>
      </c>
      <c r="L145" s="460">
        <f t="shared" si="16"/>
        <v>21023.361517269561</v>
      </c>
      <c r="M145" s="461">
        <f t="shared" si="17"/>
        <v>3332516.8195601269</v>
      </c>
    </row>
    <row r="146" spans="9:13" ht="16.5" hidden="1" customHeight="1">
      <c r="I146" s="428">
        <v>144</v>
      </c>
      <c r="J146" s="460">
        <f t="shared" si="14"/>
        <v>52462.800714870151</v>
      </c>
      <c r="K146" s="428">
        <f t="shared" si="15"/>
        <v>31242.345183376186</v>
      </c>
      <c r="L146" s="460">
        <f t="shared" si="16"/>
        <v>21220.455531493964</v>
      </c>
      <c r="M146" s="461">
        <f t="shared" si="17"/>
        <v>3311296.3640286331</v>
      </c>
    </row>
    <row r="147" spans="9:13" ht="16.5" hidden="1" customHeight="1">
      <c r="I147" s="428">
        <v>145</v>
      </c>
      <c r="J147" s="460">
        <f t="shared" si="14"/>
        <v>52462.800714870151</v>
      </c>
      <c r="K147" s="428">
        <f t="shared" si="15"/>
        <v>31043.403412768435</v>
      </c>
      <c r="L147" s="460">
        <f t="shared" si="16"/>
        <v>21419.397302101715</v>
      </c>
      <c r="M147" s="461">
        <f t="shared" si="17"/>
        <v>3289876.9667265313</v>
      </c>
    </row>
    <row r="148" spans="9:13" ht="16.5" hidden="1" customHeight="1">
      <c r="I148" s="428">
        <v>146</v>
      </c>
      <c r="J148" s="460">
        <f t="shared" si="14"/>
        <v>52462.800714870151</v>
      </c>
      <c r="K148" s="428">
        <f t="shared" si="15"/>
        <v>30842.59656306123</v>
      </c>
      <c r="L148" s="460">
        <f t="shared" si="16"/>
        <v>21620.204151808921</v>
      </c>
      <c r="M148" s="461">
        <f t="shared" si="17"/>
        <v>3268256.7625747225</v>
      </c>
    </row>
    <row r="149" spans="9:13" ht="16.5" hidden="1" customHeight="1">
      <c r="I149" s="428">
        <v>147</v>
      </c>
      <c r="J149" s="460">
        <f t="shared" si="14"/>
        <v>52462.800714870151</v>
      </c>
      <c r="K149" s="428">
        <f t="shared" si="15"/>
        <v>30639.907149138024</v>
      </c>
      <c r="L149" s="460">
        <f t="shared" si="16"/>
        <v>21822.893565732127</v>
      </c>
      <c r="M149" s="461">
        <f t="shared" si="17"/>
        <v>3246433.8690089905</v>
      </c>
    </row>
    <row r="150" spans="9:13" ht="16.5" hidden="1" customHeight="1">
      <c r="I150" s="428">
        <v>148</v>
      </c>
      <c r="J150" s="460">
        <f t="shared" si="14"/>
        <v>52462.800714870151</v>
      </c>
      <c r="K150" s="428">
        <f t="shared" si="15"/>
        <v>30435.317521959285</v>
      </c>
      <c r="L150" s="460">
        <f t="shared" si="16"/>
        <v>22027.483192910866</v>
      </c>
      <c r="M150" s="461">
        <f t="shared" si="17"/>
        <v>3224406.3858160796</v>
      </c>
    </row>
    <row r="151" spans="9:13" ht="16.5" hidden="1" customHeight="1">
      <c r="I151" s="428">
        <v>149</v>
      </c>
      <c r="J151" s="460">
        <f t="shared" si="14"/>
        <v>52462.800714870151</v>
      </c>
      <c r="K151" s="428">
        <f t="shared" si="15"/>
        <v>30228.809867025746</v>
      </c>
      <c r="L151" s="460">
        <f t="shared" si="16"/>
        <v>22233.990847844405</v>
      </c>
      <c r="M151" s="461">
        <f t="shared" si="17"/>
        <v>3202172.3949682349</v>
      </c>
    </row>
    <row r="152" spans="9:13" ht="16.5" hidden="1" customHeight="1">
      <c r="I152" s="428">
        <v>150</v>
      </c>
      <c r="J152" s="460">
        <f t="shared" si="14"/>
        <v>52462.800714870151</v>
      </c>
      <c r="K152" s="428">
        <f t="shared" si="15"/>
        <v>30020.366202827201</v>
      </c>
      <c r="L152" s="460">
        <f t="shared" si="16"/>
        <v>22442.43451204295</v>
      </c>
      <c r="M152" s="461">
        <f t="shared" si="17"/>
        <v>3179729.960456192</v>
      </c>
    </row>
    <row r="153" spans="9:13" ht="16.5" hidden="1" customHeight="1">
      <c r="I153" s="428">
        <v>151</v>
      </c>
      <c r="J153" s="460">
        <f t="shared" si="14"/>
        <v>52462.800714870151</v>
      </c>
      <c r="K153" s="428">
        <f t="shared" si="15"/>
        <v>29809.968379276797</v>
      </c>
      <c r="L153" s="460">
        <f t="shared" si="16"/>
        <v>22652.832335593353</v>
      </c>
      <c r="M153" s="461">
        <f t="shared" si="17"/>
        <v>3157077.1281205988</v>
      </c>
    </row>
    <row r="154" spans="9:13" ht="16.5" hidden="1" customHeight="1">
      <c r="I154" s="428">
        <v>152</v>
      </c>
      <c r="J154" s="460">
        <f t="shared" si="14"/>
        <v>52462.800714870151</v>
      </c>
      <c r="K154" s="428">
        <f t="shared" si="15"/>
        <v>29597.598076130613</v>
      </c>
      <c r="L154" s="460">
        <f t="shared" si="16"/>
        <v>22865.202638739538</v>
      </c>
      <c r="M154" s="461">
        <f t="shared" si="17"/>
        <v>3134211.9254818591</v>
      </c>
    </row>
    <row r="155" spans="9:13" ht="16.5" hidden="1" customHeight="1">
      <c r="I155" s="428">
        <v>153</v>
      </c>
      <c r="J155" s="460">
        <f t="shared" si="14"/>
        <v>52462.800714870151</v>
      </c>
      <c r="K155" s="428">
        <f t="shared" si="15"/>
        <v>29383.236801392428</v>
      </c>
      <c r="L155" s="460">
        <f t="shared" si="16"/>
        <v>23079.563913477723</v>
      </c>
      <c r="M155" s="461">
        <f t="shared" si="17"/>
        <v>3111132.3615683815</v>
      </c>
    </row>
    <row r="156" spans="9:13" ht="16.5" hidden="1" customHeight="1">
      <c r="I156" s="428">
        <v>154</v>
      </c>
      <c r="J156" s="460">
        <f t="shared" si="14"/>
        <v>52462.800714870151</v>
      </c>
      <c r="K156" s="428">
        <f t="shared" si="15"/>
        <v>29166.865889703575</v>
      </c>
      <c r="L156" s="460">
        <f t="shared" si="16"/>
        <v>23295.934825166576</v>
      </c>
      <c r="M156" s="461">
        <f t="shared" si="17"/>
        <v>3087836.4267432149</v>
      </c>
    </row>
    <row r="157" spans="9:13" ht="16.5" hidden="1" customHeight="1">
      <c r="I157" s="428">
        <v>155</v>
      </c>
      <c r="J157" s="460">
        <f t="shared" si="14"/>
        <v>52462.800714870151</v>
      </c>
      <c r="K157" s="428">
        <f t="shared" si="15"/>
        <v>28948.466500717641</v>
      </c>
      <c r="L157" s="460">
        <f t="shared" si="16"/>
        <v>23514.33421415251</v>
      </c>
      <c r="M157" s="461">
        <f t="shared" si="17"/>
        <v>3064322.0925290626</v>
      </c>
    </row>
    <row r="158" spans="9:13" ht="16.5" hidden="1" customHeight="1">
      <c r="I158" s="428">
        <v>156</v>
      </c>
      <c r="J158" s="460">
        <f t="shared" si="14"/>
        <v>52462.800714870151</v>
      </c>
      <c r="K158" s="428">
        <f t="shared" si="15"/>
        <v>28728.019617459962</v>
      </c>
      <c r="L158" s="460">
        <f t="shared" si="16"/>
        <v>23734.781097410189</v>
      </c>
      <c r="M158" s="461">
        <f t="shared" si="17"/>
        <v>3040587.3114316524</v>
      </c>
    </row>
    <row r="159" spans="9:13" ht="16.5" hidden="1" customHeight="1">
      <c r="I159" s="428">
        <v>157</v>
      </c>
      <c r="J159" s="460">
        <f t="shared" si="14"/>
        <v>52462.800714870151</v>
      </c>
      <c r="K159" s="428">
        <f t="shared" si="15"/>
        <v>28505.50604467174</v>
      </c>
      <c r="L159" s="460">
        <f t="shared" si="16"/>
        <v>23957.294670198411</v>
      </c>
      <c r="M159" s="461">
        <f t="shared" si="17"/>
        <v>3016630.0167614538</v>
      </c>
    </row>
    <row r="160" spans="9:13" ht="16.5" hidden="1" customHeight="1">
      <c r="I160" s="428">
        <v>158</v>
      </c>
      <c r="J160" s="460">
        <f t="shared" si="14"/>
        <v>52462.800714870151</v>
      </c>
      <c r="K160" s="428">
        <f t="shared" si="15"/>
        <v>28280.906407138627</v>
      </c>
      <c r="L160" s="460">
        <f t="shared" si="16"/>
        <v>24181.894307731523</v>
      </c>
      <c r="M160" s="461">
        <f t="shared" si="17"/>
        <v>2992448.1224537222</v>
      </c>
    </row>
    <row r="161" spans="9:13" ht="16.5" hidden="1" customHeight="1">
      <c r="I161" s="428">
        <v>159</v>
      </c>
      <c r="J161" s="460">
        <f t="shared" si="14"/>
        <v>52462.800714870151</v>
      </c>
      <c r="K161" s="428">
        <f t="shared" si="15"/>
        <v>28054.201148003645</v>
      </c>
      <c r="L161" s="460">
        <f t="shared" si="16"/>
        <v>24408.599566866505</v>
      </c>
      <c r="M161" s="461">
        <f t="shared" si="17"/>
        <v>2968039.5228868555</v>
      </c>
    </row>
    <row r="162" spans="9:13" ht="16.5" hidden="1" customHeight="1">
      <c r="I162" s="428">
        <v>160</v>
      </c>
      <c r="J162" s="460">
        <f t="shared" si="14"/>
        <v>52462.800714870151</v>
      </c>
      <c r="K162" s="428">
        <f t="shared" si="15"/>
        <v>27825.370527064271</v>
      </c>
      <c r="L162" s="460">
        <f t="shared" si="16"/>
        <v>24637.43018780588</v>
      </c>
      <c r="M162" s="461">
        <f t="shared" si="17"/>
        <v>2943402.0926990495</v>
      </c>
    </row>
    <row r="163" spans="9:13" ht="16.5" hidden="1" customHeight="1">
      <c r="I163" s="428">
        <v>161</v>
      </c>
      <c r="J163" s="460">
        <f t="shared" si="14"/>
        <v>52462.800714870151</v>
      </c>
      <c r="K163" s="428">
        <f t="shared" si="15"/>
        <v>27594.39461905359</v>
      </c>
      <c r="L163" s="460">
        <f t="shared" si="16"/>
        <v>24868.406095816561</v>
      </c>
      <c r="M163" s="461">
        <f t="shared" si="17"/>
        <v>2918533.6866032328</v>
      </c>
    </row>
    <row r="164" spans="9:13" ht="16.5" hidden="1" customHeight="1">
      <c r="I164" s="428">
        <v>162</v>
      </c>
      <c r="J164" s="460">
        <f t="shared" si="14"/>
        <v>52462.800714870151</v>
      </c>
      <c r="K164" s="428">
        <f t="shared" si="15"/>
        <v>27361.253311905308</v>
      </c>
      <c r="L164" s="460">
        <f t="shared" si="16"/>
        <v>25101.547402964843</v>
      </c>
      <c r="M164" s="461">
        <f t="shared" si="17"/>
        <v>2893432.1392002678</v>
      </c>
    </row>
    <row r="165" spans="9:13" ht="16.5" hidden="1" customHeight="1">
      <c r="I165" s="428">
        <v>163</v>
      </c>
      <c r="J165" s="460">
        <f t="shared" si="14"/>
        <v>52462.800714870151</v>
      </c>
      <c r="K165" s="428">
        <f t="shared" si="15"/>
        <v>27125.926305002511</v>
      </c>
      <c r="L165" s="460">
        <f t="shared" si="16"/>
        <v>25336.87440986764</v>
      </c>
      <c r="M165" s="461">
        <f t="shared" si="17"/>
        <v>2868095.2647904004</v>
      </c>
    </row>
    <row r="166" spans="9:13" ht="16.5" hidden="1" customHeight="1">
      <c r="I166" s="428">
        <v>164</v>
      </c>
      <c r="J166" s="460">
        <f t="shared" si="14"/>
        <v>52462.800714870151</v>
      </c>
      <c r="K166" s="428">
        <f t="shared" si="15"/>
        <v>26888.393107410004</v>
      </c>
      <c r="L166" s="460">
        <f t="shared" si="16"/>
        <v>25574.407607460147</v>
      </c>
      <c r="M166" s="461">
        <f t="shared" si="17"/>
        <v>2842520.8571829405</v>
      </c>
    </row>
    <row r="167" spans="9:13" ht="16.5" hidden="1" customHeight="1">
      <c r="I167" s="428">
        <v>165</v>
      </c>
      <c r="J167" s="460">
        <f t="shared" si="14"/>
        <v>52462.800714870151</v>
      </c>
      <c r="K167" s="428">
        <f t="shared" si="15"/>
        <v>26648.633036090065</v>
      </c>
      <c r="L167" s="460">
        <f t="shared" si="16"/>
        <v>25814.167678780086</v>
      </c>
      <c r="M167" s="461">
        <f t="shared" si="17"/>
        <v>2816706.6895041605</v>
      </c>
    </row>
    <row r="168" spans="9:13" ht="16.5" hidden="1" customHeight="1">
      <c r="I168" s="428">
        <v>166</v>
      </c>
      <c r="J168" s="460">
        <f t="shared" si="14"/>
        <v>52462.800714870151</v>
      </c>
      <c r="K168" s="428">
        <f t="shared" si="15"/>
        <v>26406.625214101503</v>
      </c>
      <c r="L168" s="460">
        <f t="shared" si="16"/>
        <v>26056.175500768648</v>
      </c>
      <c r="M168" s="461">
        <f t="shared" si="17"/>
        <v>2790650.5140033918</v>
      </c>
    </row>
    <row r="169" spans="9:13" ht="16.5" hidden="1" customHeight="1">
      <c r="I169" s="428">
        <v>167</v>
      </c>
      <c r="J169" s="460">
        <f t="shared" si="14"/>
        <v>52462.800714870151</v>
      </c>
      <c r="K169" s="428">
        <f t="shared" si="15"/>
        <v>26162.348568781799</v>
      </c>
      <c r="L169" s="460">
        <f t="shared" si="16"/>
        <v>26300.452146088352</v>
      </c>
      <c r="M169" s="461">
        <f t="shared" si="17"/>
        <v>2764350.0618573036</v>
      </c>
    </row>
    <row r="170" spans="9:13" ht="16.5" hidden="1" customHeight="1">
      <c r="I170" s="428">
        <v>168</v>
      </c>
      <c r="J170" s="460">
        <f t="shared" si="14"/>
        <v>52462.800714870151</v>
      </c>
      <c r="K170" s="428">
        <f t="shared" si="15"/>
        <v>25915.781829912219</v>
      </c>
      <c r="L170" s="460">
        <f t="shared" si="16"/>
        <v>26547.018884957932</v>
      </c>
      <c r="M170" s="461">
        <f t="shared" si="17"/>
        <v>2737803.0429723458</v>
      </c>
    </row>
    <row r="171" spans="9:13" ht="16.5" hidden="1" customHeight="1">
      <c r="I171" s="428">
        <v>169</v>
      </c>
      <c r="J171" s="460">
        <f t="shared" si="14"/>
        <v>52462.800714870151</v>
      </c>
      <c r="K171" s="428">
        <f t="shared" si="15"/>
        <v>25666.903527865743</v>
      </c>
      <c r="L171" s="460">
        <f t="shared" si="16"/>
        <v>26795.897187004408</v>
      </c>
      <c r="M171" s="461">
        <f t="shared" si="17"/>
        <v>2711007.1457853415</v>
      </c>
    </row>
    <row r="172" spans="9:13" ht="16.5" hidden="1" customHeight="1">
      <c r="I172" s="428">
        <v>170</v>
      </c>
      <c r="J172" s="460">
        <f t="shared" si="14"/>
        <v>52462.800714870151</v>
      </c>
      <c r="K172" s="428">
        <f t="shared" si="15"/>
        <v>25415.691991737574</v>
      </c>
      <c r="L172" s="460">
        <f t="shared" si="16"/>
        <v>27047.108723132576</v>
      </c>
      <c r="M172" s="461">
        <f t="shared" si="17"/>
        <v>2683960.0370622091</v>
      </c>
    </row>
    <row r="173" spans="9:13" ht="16.5" hidden="1" customHeight="1">
      <c r="I173" s="428">
        <v>171</v>
      </c>
      <c r="J173" s="460">
        <f t="shared" si="14"/>
        <v>52462.800714870151</v>
      </c>
      <c r="K173" s="428">
        <f t="shared" si="15"/>
        <v>25162.125347458208</v>
      </c>
      <c r="L173" s="460">
        <f t="shared" si="16"/>
        <v>27300.675367411943</v>
      </c>
      <c r="M173" s="461">
        <f t="shared" si="17"/>
        <v>2656659.3616947969</v>
      </c>
    </row>
    <row r="174" spans="9:13" ht="16.5" hidden="1" customHeight="1">
      <c r="I174" s="428">
        <v>172</v>
      </c>
      <c r="J174" s="460">
        <f t="shared" si="14"/>
        <v>52462.800714870151</v>
      </c>
      <c r="K174" s="428">
        <f t="shared" si="15"/>
        <v>24906.181515888722</v>
      </c>
      <c r="L174" s="460">
        <f t="shared" si="16"/>
        <v>27556.619198981429</v>
      </c>
      <c r="M174" s="461">
        <f t="shared" si="17"/>
        <v>2629102.7424958157</v>
      </c>
    </row>
    <row r="175" spans="9:13" ht="16.5" hidden="1" customHeight="1">
      <c r="I175" s="428">
        <v>173</v>
      </c>
      <c r="J175" s="460">
        <f t="shared" si="14"/>
        <v>52462.800714870151</v>
      </c>
      <c r="K175" s="428">
        <f t="shared" si="15"/>
        <v>24647.838210898273</v>
      </c>
      <c r="L175" s="460">
        <f t="shared" si="16"/>
        <v>27814.962503971878</v>
      </c>
      <c r="M175" s="461">
        <f t="shared" si="17"/>
        <v>2601287.7799918437</v>
      </c>
    </row>
    <row r="176" spans="9:13" ht="16.5" hidden="1" customHeight="1">
      <c r="I176" s="428">
        <v>174</v>
      </c>
      <c r="J176" s="460">
        <f t="shared" si="14"/>
        <v>52462.800714870151</v>
      </c>
      <c r="K176" s="428">
        <f t="shared" si="15"/>
        <v>24387.072937423534</v>
      </c>
      <c r="L176" s="460">
        <f t="shared" si="16"/>
        <v>28075.727777446617</v>
      </c>
      <c r="M176" s="461">
        <f t="shared" si="17"/>
        <v>2573212.0522143971</v>
      </c>
    </row>
    <row r="177" spans="9:13" ht="16.5" hidden="1" customHeight="1">
      <c r="I177" s="428">
        <v>175</v>
      </c>
      <c r="J177" s="460">
        <f t="shared" si="14"/>
        <v>52462.800714870151</v>
      </c>
      <c r="K177" s="428">
        <f t="shared" si="15"/>
        <v>24123.862989509973</v>
      </c>
      <c r="L177" s="460">
        <f t="shared" si="16"/>
        <v>28338.937725360178</v>
      </c>
      <c r="M177" s="461">
        <f t="shared" si="17"/>
        <v>2544873.1144890371</v>
      </c>
    </row>
    <row r="178" spans="9:13" ht="16.5" hidden="1" customHeight="1">
      <c r="I178" s="428">
        <v>176</v>
      </c>
      <c r="J178" s="460">
        <f t="shared" si="14"/>
        <v>52462.800714870151</v>
      </c>
      <c r="K178" s="428">
        <f t="shared" si="15"/>
        <v>23858.185448334723</v>
      </c>
      <c r="L178" s="460">
        <f t="shared" si="16"/>
        <v>28604.615266535428</v>
      </c>
      <c r="M178" s="461">
        <f t="shared" si="17"/>
        <v>2516268.4992225016</v>
      </c>
    </row>
    <row r="179" spans="9:13" ht="16.5" hidden="1" customHeight="1">
      <c r="I179" s="428">
        <v>177</v>
      </c>
      <c r="J179" s="460">
        <f t="shared" si="14"/>
        <v>52462.800714870151</v>
      </c>
      <c r="K179" s="428">
        <f t="shared" si="15"/>
        <v>23590.017180210951</v>
      </c>
      <c r="L179" s="460">
        <f t="shared" si="16"/>
        <v>28872.7835346592</v>
      </c>
      <c r="M179" s="461">
        <f t="shared" si="17"/>
        <v>2487395.7156878426</v>
      </c>
    </row>
    <row r="180" spans="9:13" ht="16.5" hidden="1" customHeight="1">
      <c r="I180" s="428">
        <v>178</v>
      </c>
      <c r="J180" s="460">
        <f t="shared" si="14"/>
        <v>52462.800714870151</v>
      </c>
      <c r="K180" s="428">
        <f t="shared" si="15"/>
        <v>23319.334834573525</v>
      </c>
      <c r="L180" s="460">
        <f t="shared" si="16"/>
        <v>29143.465880296626</v>
      </c>
      <c r="M180" s="461">
        <f t="shared" si="17"/>
        <v>2458252.2498075459</v>
      </c>
    </row>
    <row r="181" spans="9:13" ht="16.5" hidden="1" customHeight="1">
      <c r="I181" s="428">
        <v>179</v>
      </c>
      <c r="J181" s="460">
        <f t="shared" si="14"/>
        <v>52462.800714870151</v>
      </c>
      <c r="K181" s="428">
        <f t="shared" si="15"/>
        <v>23046.114841945742</v>
      </c>
      <c r="L181" s="460">
        <f t="shared" si="16"/>
        <v>29416.685872924409</v>
      </c>
      <c r="M181" s="461">
        <f t="shared" si="17"/>
        <v>2428835.5639346214</v>
      </c>
    </row>
    <row r="182" spans="9:13" ht="16.5" hidden="1" customHeight="1">
      <c r="I182" s="428">
        <v>180</v>
      </c>
      <c r="J182" s="460">
        <f t="shared" si="14"/>
        <v>52462.800714870151</v>
      </c>
      <c r="K182" s="428">
        <f t="shared" si="15"/>
        <v>22770.333411887073</v>
      </c>
      <c r="L182" s="460">
        <f t="shared" si="16"/>
        <v>29692.467302983077</v>
      </c>
      <c r="M182" s="461">
        <f t="shared" si="17"/>
        <v>2399143.0966316382</v>
      </c>
    </row>
    <row r="183" spans="9:13" ht="16.5" hidden="1" customHeight="1">
      <c r="I183" s="428">
        <v>181</v>
      </c>
      <c r="J183" s="460">
        <f t="shared" si="14"/>
        <v>52462.800714870151</v>
      </c>
      <c r="K183" s="428">
        <f t="shared" si="15"/>
        <v>22491.966530921607</v>
      </c>
      <c r="L183" s="460">
        <f t="shared" si="16"/>
        <v>29970.834183948544</v>
      </c>
      <c r="M183" s="461">
        <f t="shared" si="17"/>
        <v>2369172.2624476897</v>
      </c>
    </row>
    <row r="184" spans="9:13" ht="16.5" hidden="1" customHeight="1">
      <c r="I184" s="428">
        <v>182</v>
      </c>
      <c r="J184" s="460">
        <f t="shared" si="14"/>
        <v>52462.800714870151</v>
      </c>
      <c r="K184" s="428">
        <f t="shared" si="15"/>
        <v>22210.989960447088</v>
      </c>
      <c r="L184" s="460">
        <f t="shared" si="16"/>
        <v>30251.810754423062</v>
      </c>
      <c r="M184" s="461">
        <f t="shared" si="17"/>
        <v>2338920.4516932666</v>
      </c>
    </row>
    <row r="185" spans="9:13" ht="16.5" hidden="1" customHeight="1">
      <c r="I185" s="428">
        <v>183</v>
      </c>
      <c r="J185" s="460">
        <f t="shared" si="14"/>
        <v>52462.800714870151</v>
      </c>
      <c r="K185" s="428">
        <f t="shared" si="15"/>
        <v>21927.379234624375</v>
      </c>
      <c r="L185" s="460">
        <f t="shared" si="16"/>
        <v>30535.421480245775</v>
      </c>
      <c r="M185" s="461">
        <f t="shared" si="17"/>
        <v>2308385.0302130207</v>
      </c>
    </row>
    <row r="186" spans="9:13" ht="16.5" hidden="1" customHeight="1">
      <c r="I186" s="428">
        <v>184</v>
      </c>
      <c r="J186" s="460">
        <f t="shared" si="14"/>
        <v>52462.800714870151</v>
      </c>
      <c r="K186" s="428">
        <f t="shared" si="15"/>
        <v>21641.109658247067</v>
      </c>
      <c r="L186" s="460">
        <f t="shared" si="16"/>
        <v>30821.691056623084</v>
      </c>
      <c r="M186" s="461">
        <f t="shared" si="17"/>
        <v>2277563.3391563976</v>
      </c>
    </row>
    <row r="187" spans="9:13" ht="16.5" hidden="1" customHeight="1">
      <c r="I187" s="428">
        <v>185</v>
      </c>
      <c r="J187" s="460">
        <f t="shared" si="14"/>
        <v>52462.800714870151</v>
      </c>
      <c r="K187" s="428">
        <f t="shared" si="15"/>
        <v>21352.156304591226</v>
      </c>
      <c r="L187" s="460">
        <f t="shared" si="16"/>
        <v>31110.644410278925</v>
      </c>
      <c r="M187" s="461">
        <f t="shared" si="17"/>
        <v>2246452.6947461185</v>
      </c>
    </row>
    <row r="188" spans="9:13" ht="16.5" hidden="1" customHeight="1">
      <c r="I188" s="428">
        <v>186</v>
      </c>
      <c r="J188" s="460">
        <f t="shared" si="14"/>
        <v>52462.800714870151</v>
      </c>
      <c r="K188" s="428">
        <f t="shared" si="15"/>
        <v>21060.494013244861</v>
      </c>
      <c r="L188" s="460">
        <f t="shared" si="16"/>
        <v>31402.30670162529</v>
      </c>
      <c r="M188" s="461">
        <f t="shared" si="17"/>
        <v>2215050.3880444933</v>
      </c>
    </row>
    <row r="189" spans="9:13" ht="16.5" hidden="1" customHeight="1">
      <c r="I189" s="428">
        <v>187</v>
      </c>
      <c r="J189" s="460">
        <f t="shared" si="14"/>
        <v>52462.800714870151</v>
      </c>
      <c r="K189" s="428">
        <f t="shared" si="15"/>
        <v>20766.097387917125</v>
      </c>
      <c r="L189" s="460">
        <f t="shared" si="16"/>
        <v>31696.703326953026</v>
      </c>
      <c r="M189" s="461">
        <f t="shared" si="17"/>
        <v>2183353.6847175402</v>
      </c>
    </row>
    <row r="190" spans="9:13" ht="16.5" hidden="1" customHeight="1">
      <c r="I190" s="428">
        <v>188</v>
      </c>
      <c r="J190" s="460">
        <f t="shared" si="14"/>
        <v>52462.800714870151</v>
      </c>
      <c r="K190" s="428">
        <f t="shared" si="15"/>
        <v>20468.940794226939</v>
      </c>
      <c r="L190" s="460">
        <f t="shared" si="16"/>
        <v>31993.859920643212</v>
      </c>
      <c r="M190" s="461">
        <f t="shared" si="17"/>
        <v>2151359.8247968969</v>
      </c>
    </row>
    <row r="191" spans="9:13" ht="16.5" hidden="1" customHeight="1">
      <c r="I191" s="428">
        <v>189</v>
      </c>
      <c r="J191" s="460">
        <f t="shared" si="14"/>
        <v>52462.800714870151</v>
      </c>
      <c r="K191" s="428">
        <f t="shared" si="15"/>
        <v>20168.998357470908</v>
      </c>
      <c r="L191" s="460">
        <f t="shared" si="16"/>
        <v>32293.802357399243</v>
      </c>
      <c r="M191" s="461">
        <f t="shared" si="17"/>
        <v>2119066.0224394975</v>
      </c>
    </row>
    <row r="192" spans="9:13" ht="16.5" hidden="1" customHeight="1">
      <c r="I192" s="428">
        <v>190</v>
      </c>
      <c r="J192" s="460">
        <f t="shared" si="14"/>
        <v>52462.800714870151</v>
      </c>
      <c r="K192" s="428">
        <f t="shared" si="15"/>
        <v>19866.243960370288</v>
      </c>
      <c r="L192" s="460">
        <f t="shared" si="16"/>
        <v>32596.556754499863</v>
      </c>
      <c r="M192" s="461">
        <f t="shared" si="17"/>
        <v>2086469.4656849976</v>
      </c>
    </row>
    <row r="193" spans="9:13" ht="16.5" hidden="1" customHeight="1">
      <c r="I193" s="428">
        <v>191</v>
      </c>
      <c r="J193" s="460">
        <f t="shared" si="14"/>
        <v>52462.800714870151</v>
      </c>
      <c r="K193" s="428">
        <f t="shared" si="15"/>
        <v>19560.651240796851</v>
      </c>
      <c r="L193" s="460">
        <f t="shared" si="16"/>
        <v>32902.149474073303</v>
      </c>
      <c r="M193" s="461">
        <f t="shared" si="17"/>
        <v>2053567.3162109244</v>
      </c>
    </row>
    <row r="194" spans="9:13" ht="16.5" hidden="1" customHeight="1">
      <c r="I194" s="428">
        <v>192</v>
      </c>
      <c r="J194" s="460">
        <f t="shared" si="14"/>
        <v>52462.800714870151</v>
      </c>
      <c r="K194" s="428">
        <f t="shared" si="15"/>
        <v>19252.193589477414</v>
      </c>
      <c r="L194" s="460">
        <f t="shared" si="16"/>
        <v>33210.607125392737</v>
      </c>
      <c r="M194" s="461">
        <f t="shared" si="17"/>
        <v>2020356.7090855318</v>
      </c>
    </row>
    <row r="195" spans="9:13" ht="16.5" hidden="1" customHeight="1">
      <c r="I195" s="428">
        <v>193</v>
      </c>
      <c r="J195" s="460">
        <f t="shared" si="14"/>
        <v>52462.800714870151</v>
      </c>
      <c r="K195" s="428">
        <f t="shared" si="15"/>
        <v>18940.84414767686</v>
      </c>
      <c r="L195" s="460">
        <f t="shared" si="16"/>
        <v>33521.956567193294</v>
      </c>
      <c r="M195" s="461">
        <f t="shared" si="17"/>
        <v>1986834.7525183384</v>
      </c>
    </row>
    <row r="196" spans="9:13" ht="16.5" hidden="1" customHeight="1">
      <c r="I196" s="428">
        <v>194</v>
      </c>
      <c r="J196" s="460">
        <f t="shared" ref="J196:J259" si="18">$C$7</f>
        <v>52462.800714870151</v>
      </c>
      <c r="K196" s="428">
        <f t="shared" ref="K196:K259" si="19">M195*($C$5/12)</f>
        <v>18626.575804859422</v>
      </c>
      <c r="L196" s="460">
        <f t="shared" ref="L196:L259" si="20">J196-K196</f>
        <v>33836.224910010729</v>
      </c>
      <c r="M196" s="461">
        <f t="shared" ref="M196:M259" si="21">M195-L196</f>
        <v>1952998.5276083276</v>
      </c>
    </row>
    <row r="197" spans="9:13" ht="16.5" hidden="1" customHeight="1">
      <c r="I197" s="428">
        <v>195</v>
      </c>
      <c r="J197" s="460">
        <f t="shared" si="18"/>
        <v>52462.800714870151</v>
      </c>
      <c r="K197" s="428">
        <f t="shared" si="19"/>
        <v>18309.361196328071</v>
      </c>
      <c r="L197" s="460">
        <f t="shared" si="20"/>
        <v>34153.43951854208</v>
      </c>
      <c r="M197" s="461">
        <f t="shared" si="21"/>
        <v>1918845.0880897855</v>
      </c>
    </row>
    <row r="198" spans="9:13" ht="16.5" hidden="1" customHeight="1">
      <c r="I198" s="428">
        <v>196</v>
      </c>
      <c r="J198" s="460">
        <f t="shared" si="18"/>
        <v>52462.800714870151</v>
      </c>
      <c r="K198" s="428">
        <f t="shared" si="19"/>
        <v>17989.17270084174</v>
      </c>
      <c r="L198" s="460">
        <f t="shared" si="20"/>
        <v>34473.628014028407</v>
      </c>
      <c r="M198" s="461">
        <f t="shared" si="21"/>
        <v>1884371.4600757572</v>
      </c>
    </row>
    <row r="199" spans="9:13" ht="16.5" hidden="1" customHeight="1">
      <c r="I199" s="428">
        <v>197</v>
      </c>
      <c r="J199" s="460">
        <f t="shared" si="18"/>
        <v>52462.800714870151</v>
      </c>
      <c r="K199" s="428">
        <f t="shared" si="19"/>
        <v>17665.982438210223</v>
      </c>
      <c r="L199" s="460">
        <f t="shared" si="20"/>
        <v>34796.818276659928</v>
      </c>
      <c r="M199" s="461">
        <f t="shared" si="21"/>
        <v>1849574.6417990974</v>
      </c>
    </row>
    <row r="200" spans="9:13" ht="16.5" hidden="1" customHeight="1">
      <c r="I200" s="428">
        <v>198</v>
      </c>
      <c r="J200" s="460">
        <f t="shared" si="18"/>
        <v>52462.800714870151</v>
      </c>
      <c r="K200" s="428">
        <f t="shared" si="19"/>
        <v>17339.762266866539</v>
      </c>
      <c r="L200" s="460">
        <f t="shared" si="20"/>
        <v>35123.038448003615</v>
      </c>
      <c r="M200" s="461">
        <f t="shared" si="21"/>
        <v>1814451.6033510938</v>
      </c>
    </row>
    <row r="201" spans="9:13" ht="16.5" hidden="1" customHeight="1">
      <c r="I201" s="428">
        <v>199</v>
      </c>
      <c r="J201" s="460">
        <f t="shared" si="18"/>
        <v>52462.800714870151</v>
      </c>
      <c r="K201" s="428">
        <f t="shared" si="19"/>
        <v>17010.483781416504</v>
      </c>
      <c r="L201" s="460">
        <f t="shared" si="20"/>
        <v>35452.316933453651</v>
      </c>
      <c r="M201" s="461">
        <f t="shared" si="21"/>
        <v>1778999.2864176403</v>
      </c>
    </row>
    <row r="202" spans="9:13" ht="16.5" hidden="1" customHeight="1">
      <c r="I202" s="428">
        <v>200</v>
      </c>
      <c r="J202" s="460">
        <f t="shared" si="18"/>
        <v>52462.800714870151</v>
      </c>
      <c r="K202" s="428">
        <f t="shared" si="19"/>
        <v>16678.118310165377</v>
      </c>
      <c r="L202" s="460">
        <f t="shared" si="20"/>
        <v>35784.68240470477</v>
      </c>
      <c r="M202" s="461">
        <f t="shared" si="21"/>
        <v>1743214.6040129354</v>
      </c>
    </row>
    <row r="203" spans="9:13" ht="16.5" hidden="1" customHeight="1">
      <c r="I203" s="428">
        <v>201</v>
      </c>
      <c r="J203" s="460">
        <f t="shared" si="18"/>
        <v>52462.800714870151</v>
      </c>
      <c r="K203" s="428">
        <f t="shared" si="19"/>
        <v>16342.636912621268</v>
      </c>
      <c r="L203" s="460">
        <f t="shared" si="20"/>
        <v>36120.163802248884</v>
      </c>
      <c r="M203" s="461">
        <f t="shared" si="21"/>
        <v>1707094.4402106865</v>
      </c>
    </row>
    <row r="204" spans="9:13" ht="16.5" hidden="1" customHeight="1">
      <c r="I204" s="428">
        <v>202</v>
      </c>
      <c r="J204" s="460">
        <f t="shared" si="18"/>
        <v>52462.800714870151</v>
      </c>
      <c r="K204" s="428">
        <f t="shared" si="19"/>
        <v>16004.010376975186</v>
      </c>
      <c r="L204" s="460">
        <f t="shared" si="20"/>
        <v>36458.790337894963</v>
      </c>
      <c r="M204" s="461">
        <f t="shared" si="21"/>
        <v>1670635.6498727915</v>
      </c>
    </row>
    <row r="205" spans="9:13" ht="16.5" hidden="1" customHeight="1">
      <c r="I205" s="428">
        <v>203</v>
      </c>
      <c r="J205" s="460">
        <f t="shared" si="18"/>
        <v>52462.800714870151</v>
      </c>
      <c r="K205" s="428">
        <f t="shared" si="19"/>
        <v>15662.20921755742</v>
      </c>
      <c r="L205" s="460">
        <f t="shared" si="20"/>
        <v>36800.591497312729</v>
      </c>
      <c r="M205" s="461">
        <f t="shared" si="21"/>
        <v>1633835.0583754787</v>
      </c>
    </row>
    <row r="206" spans="9:13" ht="16.5" hidden="1" customHeight="1">
      <c r="I206" s="428">
        <v>204</v>
      </c>
      <c r="J206" s="460">
        <f t="shared" si="18"/>
        <v>52462.800714870151</v>
      </c>
      <c r="K206" s="428">
        <f t="shared" si="19"/>
        <v>15317.203672270112</v>
      </c>
      <c r="L206" s="460">
        <f t="shared" si="20"/>
        <v>37145.597042600042</v>
      </c>
      <c r="M206" s="461">
        <f t="shared" si="21"/>
        <v>1596689.4613328786</v>
      </c>
    </row>
    <row r="207" spans="9:13" ht="16.5" hidden="1" customHeight="1">
      <c r="I207" s="428">
        <v>205</v>
      </c>
      <c r="J207" s="460">
        <f t="shared" si="18"/>
        <v>52462.800714870151</v>
      </c>
      <c r="K207" s="428">
        <f t="shared" si="19"/>
        <v>14968.963699995737</v>
      </c>
      <c r="L207" s="460">
        <f t="shared" si="20"/>
        <v>37493.837014874414</v>
      </c>
      <c r="M207" s="461">
        <f t="shared" si="21"/>
        <v>1559195.6243180041</v>
      </c>
    </row>
    <row r="208" spans="9:13" ht="16.5" hidden="1" customHeight="1">
      <c r="I208" s="428">
        <v>206</v>
      </c>
      <c r="J208" s="460">
        <f t="shared" si="18"/>
        <v>52462.800714870151</v>
      </c>
      <c r="K208" s="428">
        <f t="shared" si="19"/>
        <v>14617.458977981289</v>
      </c>
      <c r="L208" s="460">
        <f t="shared" si="20"/>
        <v>37845.341736888862</v>
      </c>
      <c r="M208" s="461">
        <f t="shared" si="21"/>
        <v>1521350.2825811151</v>
      </c>
    </row>
    <row r="209" spans="9:13" ht="16.5" hidden="1" customHeight="1">
      <c r="I209" s="428">
        <v>207</v>
      </c>
      <c r="J209" s="460">
        <f t="shared" si="18"/>
        <v>52462.800714870151</v>
      </c>
      <c r="K209" s="428">
        <f t="shared" si="19"/>
        <v>14262.658899197953</v>
      </c>
      <c r="L209" s="460">
        <f t="shared" si="20"/>
        <v>38200.141815672199</v>
      </c>
      <c r="M209" s="461">
        <f t="shared" si="21"/>
        <v>1483150.140765443</v>
      </c>
    </row>
    <row r="210" spans="9:13" ht="16.5" hidden="1" customHeight="1">
      <c r="I210" s="428">
        <v>208</v>
      </c>
      <c r="J210" s="460">
        <f t="shared" si="18"/>
        <v>52462.800714870151</v>
      </c>
      <c r="K210" s="428">
        <f t="shared" si="19"/>
        <v>13904.532569676028</v>
      </c>
      <c r="L210" s="460">
        <f t="shared" si="20"/>
        <v>38558.268145194124</v>
      </c>
      <c r="M210" s="461">
        <f t="shared" si="21"/>
        <v>1444591.8726202489</v>
      </c>
    </row>
    <row r="211" spans="9:13" ht="16.5" hidden="1" customHeight="1">
      <c r="I211" s="428">
        <v>209</v>
      </c>
      <c r="J211" s="460">
        <f t="shared" si="18"/>
        <v>52462.800714870151</v>
      </c>
      <c r="K211" s="428">
        <f t="shared" si="19"/>
        <v>13543.048805814833</v>
      </c>
      <c r="L211" s="460">
        <f t="shared" si="20"/>
        <v>38919.751909055318</v>
      </c>
      <c r="M211" s="461">
        <f t="shared" si="21"/>
        <v>1405672.1207111937</v>
      </c>
    </row>
    <row r="212" spans="9:13" ht="16.5" hidden="1" customHeight="1">
      <c r="I212" s="428">
        <v>210</v>
      </c>
      <c r="J212" s="460">
        <f t="shared" si="18"/>
        <v>52462.800714870151</v>
      </c>
      <c r="K212" s="428">
        <f t="shared" si="19"/>
        <v>13178.17613166744</v>
      </c>
      <c r="L212" s="460">
        <f t="shared" si="20"/>
        <v>39284.624583202713</v>
      </c>
      <c r="M212" s="461">
        <f t="shared" si="21"/>
        <v>1366387.496127991</v>
      </c>
    </row>
    <row r="213" spans="9:13" ht="16.5" hidden="1" customHeight="1">
      <c r="I213" s="428">
        <v>211</v>
      </c>
      <c r="J213" s="460">
        <f t="shared" si="18"/>
        <v>52462.800714870151</v>
      </c>
      <c r="K213" s="428">
        <f t="shared" si="19"/>
        <v>12809.882776199915</v>
      </c>
      <c r="L213" s="460">
        <f t="shared" si="20"/>
        <v>39652.917938670238</v>
      </c>
      <c r="M213" s="461">
        <f t="shared" si="21"/>
        <v>1326734.5781893209</v>
      </c>
    </row>
    <row r="214" spans="9:13" ht="16.5" hidden="1" customHeight="1">
      <c r="I214" s="428">
        <v>212</v>
      </c>
      <c r="J214" s="460">
        <f t="shared" si="18"/>
        <v>52462.800714870151</v>
      </c>
      <c r="K214" s="428">
        <f t="shared" si="19"/>
        <v>12438.136670524882</v>
      </c>
      <c r="L214" s="460">
        <f t="shared" si="20"/>
        <v>40024.664044345271</v>
      </c>
      <c r="M214" s="461">
        <f t="shared" si="21"/>
        <v>1286709.9141449756</v>
      </c>
    </row>
    <row r="215" spans="9:13" ht="16.5" hidden="1" customHeight="1">
      <c r="I215" s="428">
        <v>213</v>
      </c>
      <c r="J215" s="460">
        <f t="shared" si="18"/>
        <v>52462.800714870151</v>
      </c>
      <c r="K215" s="428">
        <f t="shared" si="19"/>
        <v>12062.905445109145</v>
      </c>
      <c r="L215" s="460">
        <f t="shared" si="20"/>
        <v>40399.895269761008</v>
      </c>
      <c r="M215" s="461">
        <f t="shared" si="21"/>
        <v>1246310.0188752145</v>
      </c>
    </row>
    <row r="216" spans="9:13" ht="16.5" hidden="1" customHeight="1">
      <c r="I216" s="428">
        <v>214</v>
      </c>
      <c r="J216" s="460">
        <f t="shared" si="18"/>
        <v>52462.800714870151</v>
      </c>
      <c r="K216" s="428">
        <f t="shared" si="19"/>
        <v>11684.156426955136</v>
      </c>
      <c r="L216" s="460">
        <f t="shared" si="20"/>
        <v>40778.644287915013</v>
      </c>
      <c r="M216" s="461">
        <f t="shared" si="21"/>
        <v>1205531.3745872995</v>
      </c>
    </row>
    <row r="217" spans="9:13" ht="16.5" hidden="1" customHeight="1">
      <c r="I217" s="428">
        <v>215</v>
      </c>
      <c r="J217" s="460">
        <f t="shared" si="18"/>
        <v>52462.800714870151</v>
      </c>
      <c r="K217" s="428">
        <f t="shared" si="19"/>
        <v>11301.856636755932</v>
      </c>
      <c r="L217" s="460">
        <f t="shared" si="20"/>
        <v>41160.944078114218</v>
      </c>
      <c r="M217" s="461">
        <f t="shared" si="21"/>
        <v>1164370.4305091854</v>
      </c>
    </row>
    <row r="218" spans="9:13" ht="16.5" hidden="1" customHeight="1">
      <c r="I218" s="428">
        <v>216</v>
      </c>
      <c r="J218" s="460">
        <f t="shared" si="18"/>
        <v>52462.800714870151</v>
      </c>
      <c r="K218" s="428">
        <f t="shared" si="19"/>
        <v>10915.972786023613</v>
      </c>
      <c r="L218" s="460">
        <f t="shared" si="20"/>
        <v>41546.827928846542</v>
      </c>
      <c r="M218" s="461">
        <f t="shared" si="21"/>
        <v>1122823.6025803389</v>
      </c>
    </row>
    <row r="219" spans="9:13" ht="16.5" hidden="1" customHeight="1">
      <c r="I219" s="428">
        <v>217</v>
      </c>
      <c r="J219" s="460">
        <f t="shared" si="18"/>
        <v>52462.800714870151</v>
      </c>
      <c r="K219" s="428">
        <f t="shared" si="19"/>
        <v>10526.471274190677</v>
      </c>
      <c r="L219" s="460">
        <f t="shared" si="20"/>
        <v>41936.329440679474</v>
      </c>
      <c r="M219" s="461">
        <f t="shared" si="21"/>
        <v>1080887.2731396595</v>
      </c>
    </row>
    <row r="220" spans="9:13" ht="16.5" hidden="1" customHeight="1">
      <c r="I220" s="428">
        <v>218</v>
      </c>
      <c r="J220" s="460">
        <f t="shared" si="18"/>
        <v>52462.800714870151</v>
      </c>
      <c r="K220" s="428">
        <f t="shared" si="19"/>
        <v>10133.318185684308</v>
      </c>
      <c r="L220" s="460">
        <f t="shared" si="20"/>
        <v>42329.482529185843</v>
      </c>
      <c r="M220" s="461">
        <f t="shared" si="21"/>
        <v>1038557.7906104737</v>
      </c>
    </row>
    <row r="221" spans="9:13" ht="16.5" hidden="1" customHeight="1">
      <c r="I221" s="428">
        <v>219</v>
      </c>
      <c r="J221" s="460">
        <f t="shared" si="18"/>
        <v>52462.800714870151</v>
      </c>
      <c r="K221" s="428">
        <f t="shared" si="19"/>
        <v>9736.47928697319</v>
      </c>
      <c r="L221" s="460">
        <f t="shared" si="20"/>
        <v>42726.321427896961</v>
      </c>
      <c r="M221" s="461">
        <f t="shared" si="21"/>
        <v>995831.46918257675</v>
      </c>
    </row>
    <row r="222" spans="9:13" ht="16.5" hidden="1" customHeight="1">
      <c r="I222" s="428">
        <v>220</v>
      </c>
      <c r="J222" s="460">
        <f t="shared" si="18"/>
        <v>52462.800714870151</v>
      </c>
      <c r="K222" s="428">
        <f t="shared" si="19"/>
        <v>9335.9200235866574</v>
      </c>
      <c r="L222" s="460">
        <f t="shared" si="20"/>
        <v>43126.880691283492</v>
      </c>
      <c r="M222" s="461">
        <f t="shared" si="21"/>
        <v>952704.58849129325</v>
      </c>
    </row>
    <row r="223" spans="9:13" ht="16.5" hidden="1" customHeight="1">
      <c r="I223" s="428">
        <v>221</v>
      </c>
      <c r="J223" s="460">
        <f t="shared" si="18"/>
        <v>52462.800714870151</v>
      </c>
      <c r="K223" s="428">
        <f t="shared" si="19"/>
        <v>8931.6055171058742</v>
      </c>
      <c r="L223" s="460">
        <f t="shared" si="20"/>
        <v>43531.195197764275</v>
      </c>
      <c r="M223" s="461">
        <f t="shared" si="21"/>
        <v>909173.39329352893</v>
      </c>
    </row>
    <row r="224" spans="9:13" ht="16.5" hidden="1" customHeight="1">
      <c r="I224" s="428">
        <v>222</v>
      </c>
      <c r="J224" s="460">
        <f t="shared" si="18"/>
        <v>52462.800714870151</v>
      </c>
      <c r="K224" s="428">
        <f t="shared" si="19"/>
        <v>8523.5005621268338</v>
      </c>
      <c r="L224" s="460">
        <f t="shared" si="20"/>
        <v>43939.300152743315</v>
      </c>
      <c r="M224" s="461">
        <f t="shared" si="21"/>
        <v>865234.09314078558</v>
      </c>
    </row>
    <row r="225" spans="9:13" ht="16.5" hidden="1" customHeight="1">
      <c r="I225" s="428">
        <v>223</v>
      </c>
      <c r="J225" s="460">
        <f t="shared" si="18"/>
        <v>52462.800714870151</v>
      </c>
      <c r="K225" s="428">
        <f t="shared" si="19"/>
        <v>8111.5696231948641</v>
      </c>
      <c r="L225" s="460">
        <f t="shared" si="20"/>
        <v>44351.23109167529</v>
      </c>
      <c r="M225" s="461">
        <f t="shared" si="21"/>
        <v>820882.86204911023</v>
      </c>
    </row>
    <row r="226" spans="9:13" ht="16.5" hidden="1" customHeight="1">
      <c r="I226" s="428">
        <v>224</v>
      </c>
      <c r="J226" s="460">
        <f t="shared" si="18"/>
        <v>52462.800714870151</v>
      </c>
      <c r="K226" s="428">
        <f t="shared" si="19"/>
        <v>7695.7768317104083</v>
      </c>
      <c r="L226" s="460">
        <f t="shared" si="20"/>
        <v>44767.023883159745</v>
      </c>
      <c r="M226" s="461">
        <f t="shared" si="21"/>
        <v>776115.8381659505</v>
      </c>
    </row>
    <row r="227" spans="9:13" ht="16.5" hidden="1" customHeight="1">
      <c r="I227" s="428">
        <v>225</v>
      </c>
      <c r="J227" s="460">
        <f t="shared" si="18"/>
        <v>52462.800714870151</v>
      </c>
      <c r="K227" s="428">
        <f t="shared" si="19"/>
        <v>7276.0859828057855</v>
      </c>
      <c r="L227" s="460">
        <f t="shared" si="20"/>
        <v>45186.714732064363</v>
      </c>
      <c r="M227" s="461">
        <f t="shared" si="21"/>
        <v>730929.1234338861</v>
      </c>
    </row>
    <row r="228" spans="9:13" ht="16.5" hidden="1" customHeight="1">
      <c r="I228" s="428">
        <v>226</v>
      </c>
      <c r="J228" s="460">
        <f t="shared" si="18"/>
        <v>52462.800714870151</v>
      </c>
      <c r="K228" s="428">
        <f t="shared" si="19"/>
        <v>6852.460532192682</v>
      </c>
      <c r="L228" s="460">
        <f t="shared" si="20"/>
        <v>45610.340182677472</v>
      </c>
      <c r="M228" s="461">
        <f t="shared" si="21"/>
        <v>685318.7832512086</v>
      </c>
    </row>
    <row r="229" spans="9:13" ht="16.5" hidden="1" customHeight="1">
      <c r="I229" s="428">
        <v>227</v>
      </c>
      <c r="J229" s="460">
        <f t="shared" si="18"/>
        <v>52462.800714870151</v>
      </c>
      <c r="K229" s="428">
        <f t="shared" si="19"/>
        <v>6424.8635929800803</v>
      </c>
      <c r="L229" s="460">
        <f t="shared" si="20"/>
        <v>46037.937121890071</v>
      </c>
      <c r="M229" s="461">
        <f t="shared" si="21"/>
        <v>639280.84612931858</v>
      </c>
    </row>
    <row r="230" spans="9:13" ht="16.5" hidden="1" customHeight="1">
      <c r="I230" s="428">
        <v>228</v>
      </c>
      <c r="J230" s="460">
        <f t="shared" si="18"/>
        <v>52462.800714870151</v>
      </c>
      <c r="K230" s="428">
        <f t="shared" si="19"/>
        <v>5993.2579324623612</v>
      </c>
      <c r="L230" s="460">
        <f t="shared" si="20"/>
        <v>46469.542782407792</v>
      </c>
      <c r="M230" s="461">
        <f t="shared" si="21"/>
        <v>592811.30334691075</v>
      </c>
    </row>
    <row r="231" spans="9:13" ht="16.5" hidden="1" customHeight="1">
      <c r="I231" s="428">
        <v>229</v>
      </c>
      <c r="J231" s="460">
        <f t="shared" si="18"/>
        <v>52462.800714870151</v>
      </c>
      <c r="K231" s="428">
        <f t="shared" si="19"/>
        <v>5557.6059688772884</v>
      </c>
      <c r="L231" s="460">
        <f t="shared" si="20"/>
        <v>46905.194745992863</v>
      </c>
      <c r="M231" s="461">
        <f t="shared" si="21"/>
        <v>545906.10860091785</v>
      </c>
    </row>
    <row r="232" spans="9:13" ht="16.5" hidden="1" customHeight="1">
      <c r="I232" s="428">
        <v>230</v>
      </c>
      <c r="J232" s="460">
        <f t="shared" si="18"/>
        <v>52462.800714870151</v>
      </c>
      <c r="K232" s="428">
        <f t="shared" si="19"/>
        <v>5117.8697681336043</v>
      </c>
      <c r="L232" s="460">
        <f t="shared" si="20"/>
        <v>47344.930946736546</v>
      </c>
      <c r="M232" s="461">
        <f t="shared" si="21"/>
        <v>498561.17765418132</v>
      </c>
    </row>
    <row r="233" spans="9:13" ht="16.5" hidden="1" customHeight="1">
      <c r="I233" s="428">
        <v>231</v>
      </c>
      <c r="J233" s="460">
        <f t="shared" si="18"/>
        <v>52462.800714870151</v>
      </c>
      <c r="K233" s="428">
        <f t="shared" si="19"/>
        <v>4674.0110405079495</v>
      </c>
      <c r="L233" s="460">
        <f t="shared" si="20"/>
        <v>47788.789674362204</v>
      </c>
      <c r="M233" s="461">
        <f t="shared" si="21"/>
        <v>450772.38797981909</v>
      </c>
    </row>
    <row r="234" spans="9:13" ht="16.5" hidden="1" customHeight="1">
      <c r="I234" s="428">
        <v>232</v>
      </c>
      <c r="J234" s="460">
        <f t="shared" si="18"/>
        <v>52462.800714870151</v>
      </c>
      <c r="K234" s="428">
        <f t="shared" si="19"/>
        <v>4225.9911373108034</v>
      </c>
      <c r="L234" s="460">
        <f t="shared" si="20"/>
        <v>48236.809577559347</v>
      </c>
      <c r="M234" s="461">
        <f t="shared" si="21"/>
        <v>402535.57840225974</v>
      </c>
    </row>
    <row r="235" spans="9:13" ht="16.5" hidden="1" customHeight="1">
      <c r="I235" s="428">
        <v>233</v>
      </c>
      <c r="J235" s="460">
        <f t="shared" si="18"/>
        <v>52462.800714870151</v>
      </c>
      <c r="K235" s="428">
        <f t="shared" si="19"/>
        <v>3773.7710475211848</v>
      </c>
      <c r="L235" s="460">
        <f t="shared" si="20"/>
        <v>48689.029667348965</v>
      </c>
      <c r="M235" s="461">
        <f t="shared" si="21"/>
        <v>353846.54873491079</v>
      </c>
    </row>
    <row r="236" spans="9:13" ht="16.5" hidden="1" customHeight="1">
      <c r="I236" s="428">
        <v>234</v>
      </c>
      <c r="J236" s="460">
        <f t="shared" si="18"/>
        <v>52462.800714870151</v>
      </c>
      <c r="K236" s="428">
        <f t="shared" si="19"/>
        <v>3317.3113943897883</v>
      </c>
      <c r="L236" s="460">
        <f t="shared" si="20"/>
        <v>49145.489320480359</v>
      </c>
      <c r="M236" s="461">
        <f t="shared" si="21"/>
        <v>304701.05941443041</v>
      </c>
    </row>
    <row r="237" spans="9:13" ht="16.5" hidden="1" customHeight="1">
      <c r="I237" s="428">
        <v>235</v>
      </c>
      <c r="J237" s="460">
        <f t="shared" si="18"/>
        <v>52462.800714870151</v>
      </c>
      <c r="K237" s="428">
        <f t="shared" si="19"/>
        <v>2856.572432010285</v>
      </c>
      <c r="L237" s="460">
        <f t="shared" si="20"/>
        <v>49606.228282859869</v>
      </c>
      <c r="M237" s="461">
        <f t="shared" si="21"/>
        <v>255094.83113157054</v>
      </c>
    </row>
    <row r="238" spans="9:13" ht="16.5" hidden="1" customHeight="1">
      <c r="I238" s="428">
        <v>236</v>
      </c>
      <c r="J238" s="460">
        <f t="shared" si="18"/>
        <v>52462.800714870151</v>
      </c>
      <c r="K238" s="428">
        <f t="shared" si="19"/>
        <v>2391.5140418584738</v>
      </c>
      <c r="L238" s="460">
        <f t="shared" si="20"/>
        <v>50071.28667301168</v>
      </c>
      <c r="M238" s="461">
        <f t="shared" si="21"/>
        <v>205023.54445855884</v>
      </c>
    </row>
    <row r="239" spans="9:13" ht="16.5" hidden="1" customHeight="1">
      <c r="I239" s="428">
        <v>237</v>
      </c>
      <c r="J239" s="460">
        <f t="shared" si="18"/>
        <v>52462.800714870151</v>
      </c>
      <c r="K239" s="428">
        <f t="shared" si="19"/>
        <v>1922.095729298989</v>
      </c>
      <c r="L239" s="460">
        <f t="shared" si="20"/>
        <v>50540.704985571159</v>
      </c>
      <c r="M239" s="461">
        <f t="shared" si="21"/>
        <v>154482.83947298769</v>
      </c>
    </row>
    <row r="240" spans="9:13" ht="16.5" hidden="1" customHeight="1">
      <c r="I240" s="428">
        <v>238</v>
      </c>
      <c r="J240" s="460">
        <f t="shared" si="18"/>
        <v>52462.800714870151</v>
      </c>
      <c r="K240" s="428">
        <f t="shared" si="19"/>
        <v>1448.2766200592596</v>
      </c>
      <c r="L240" s="460">
        <f t="shared" si="20"/>
        <v>51014.524094810891</v>
      </c>
      <c r="M240" s="461">
        <f t="shared" si="21"/>
        <v>103468.31537817681</v>
      </c>
    </row>
    <row r="241" spans="9:13" ht="16.5" hidden="1" customHeight="1">
      <c r="I241" s="428">
        <v>239</v>
      </c>
      <c r="J241" s="460">
        <f t="shared" si="18"/>
        <v>52462.800714870151</v>
      </c>
      <c r="K241" s="428">
        <f t="shared" si="19"/>
        <v>970.0154566704075</v>
      </c>
      <c r="L241" s="460">
        <f t="shared" si="20"/>
        <v>51492.785258199743</v>
      </c>
      <c r="M241" s="461">
        <f t="shared" si="21"/>
        <v>51975.530119977062</v>
      </c>
    </row>
    <row r="242" spans="9:13" ht="16.5" hidden="1" customHeight="1">
      <c r="I242" s="428">
        <v>240</v>
      </c>
      <c r="J242" s="460">
        <f t="shared" si="18"/>
        <v>52462.800714870151</v>
      </c>
      <c r="K242" s="428">
        <f t="shared" si="19"/>
        <v>487.27059487478493</v>
      </c>
      <c r="L242" s="460">
        <f t="shared" si="20"/>
        <v>51975.530119995368</v>
      </c>
      <c r="M242" s="461">
        <f t="shared" si="21"/>
        <v>-1.83063093572855E-8</v>
      </c>
    </row>
    <row r="243" spans="9:13" ht="16.5" hidden="1" customHeight="1">
      <c r="I243" s="428">
        <v>241</v>
      </c>
      <c r="J243" s="460">
        <f t="shared" si="18"/>
        <v>52462.800714870151</v>
      </c>
      <c r="K243" s="428">
        <f t="shared" si="19"/>
        <v>-1.7162165022455155E-10</v>
      </c>
      <c r="L243" s="460">
        <f t="shared" si="20"/>
        <v>52462.800714870325</v>
      </c>
      <c r="M243" s="461">
        <f t="shared" si="21"/>
        <v>-52462.800714888632</v>
      </c>
    </row>
    <row r="244" spans="9:13" ht="16.5" hidden="1" customHeight="1">
      <c r="I244" s="428">
        <v>242</v>
      </c>
      <c r="J244" s="460">
        <f t="shared" si="18"/>
        <v>52462.800714870151</v>
      </c>
      <c r="K244" s="428">
        <f t="shared" si="19"/>
        <v>-491.8387567020809</v>
      </c>
      <c r="L244" s="460">
        <f t="shared" si="20"/>
        <v>52954.639471572234</v>
      </c>
      <c r="M244" s="461">
        <f t="shared" si="21"/>
        <v>-105417.44018646087</v>
      </c>
    </row>
    <row r="245" spans="9:13" ht="16.5" hidden="1" customHeight="1">
      <c r="I245" s="428">
        <v>243</v>
      </c>
      <c r="J245" s="460">
        <f t="shared" si="18"/>
        <v>52462.800714870151</v>
      </c>
      <c r="K245" s="428">
        <f t="shared" si="19"/>
        <v>-988.28850174807053</v>
      </c>
      <c r="L245" s="460">
        <f t="shared" si="20"/>
        <v>53451.089216618224</v>
      </c>
      <c r="M245" s="461">
        <f t="shared" si="21"/>
        <v>-158868.5294030791</v>
      </c>
    </row>
    <row r="246" spans="9:13" hidden="1">
      <c r="I246" s="428">
        <v>244</v>
      </c>
      <c r="J246" s="460">
        <f t="shared" si="18"/>
        <v>52462.800714870151</v>
      </c>
      <c r="K246" s="428">
        <f t="shared" si="19"/>
        <v>-1489.3924631538664</v>
      </c>
      <c r="L246" s="460">
        <f t="shared" si="20"/>
        <v>53952.193178024019</v>
      </c>
      <c r="M246" s="461">
        <f t="shared" si="21"/>
        <v>-212820.72258110312</v>
      </c>
    </row>
    <row r="247" spans="9:13" hidden="1">
      <c r="I247" s="428">
        <v>245</v>
      </c>
      <c r="J247" s="460">
        <f t="shared" si="18"/>
        <v>52462.800714870151</v>
      </c>
      <c r="K247" s="428">
        <f t="shared" si="19"/>
        <v>-1995.1942741978417</v>
      </c>
      <c r="L247" s="460">
        <f t="shared" si="20"/>
        <v>54457.994989067993</v>
      </c>
      <c r="M247" s="461">
        <f t="shared" si="21"/>
        <v>-267278.71757017111</v>
      </c>
    </row>
    <row r="248" spans="9:13" hidden="1">
      <c r="I248" s="428">
        <v>246</v>
      </c>
      <c r="J248" s="460">
        <f t="shared" si="18"/>
        <v>52462.800714870151</v>
      </c>
      <c r="K248" s="428">
        <f t="shared" si="19"/>
        <v>-2505.737977220354</v>
      </c>
      <c r="L248" s="460">
        <f t="shared" si="20"/>
        <v>54968.538692090508</v>
      </c>
      <c r="M248" s="461">
        <f t="shared" si="21"/>
        <v>-322247.2562622616</v>
      </c>
    </row>
    <row r="249" spans="9:13" hidden="1">
      <c r="I249" s="428">
        <v>247</v>
      </c>
      <c r="J249" s="460">
        <f t="shared" si="18"/>
        <v>52462.800714870151</v>
      </c>
      <c r="K249" s="428">
        <f t="shared" si="19"/>
        <v>-3021.0680274587025</v>
      </c>
      <c r="L249" s="460">
        <f t="shared" si="20"/>
        <v>55483.86874232885</v>
      </c>
      <c r="M249" s="461">
        <f t="shared" si="21"/>
        <v>-377731.12500459043</v>
      </c>
    </row>
    <row r="250" spans="9:13" hidden="1">
      <c r="I250" s="428">
        <v>248</v>
      </c>
      <c r="J250" s="460">
        <f t="shared" si="18"/>
        <v>52462.800714870151</v>
      </c>
      <c r="K250" s="428">
        <f t="shared" si="19"/>
        <v>-3541.2292969180353</v>
      </c>
      <c r="L250" s="460">
        <f t="shared" si="20"/>
        <v>56004.030011788185</v>
      </c>
      <c r="M250" s="461">
        <f t="shared" si="21"/>
        <v>-433735.15501637862</v>
      </c>
    </row>
    <row r="251" spans="9:13" hidden="1">
      <c r="I251" s="428">
        <v>249</v>
      </c>
      <c r="J251" s="460">
        <f t="shared" si="18"/>
        <v>52462.800714870151</v>
      </c>
      <c r="K251" s="428">
        <f t="shared" si="19"/>
        <v>-4066.2670782785494</v>
      </c>
      <c r="L251" s="460">
        <f t="shared" si="20"/>
        <v>56529.067793148701</v>
      </c>
      <c r="M251" s="461">
        <f t="shared" si="21"/>
        <v>-490264.2228095273</v>
      </c>
    </row>
    <row r="252" spans="9:13" hidden="1">
      <c r="I252" s="428">
        <v>250</v>
      </c>
      <c r="J252" s="460">
        <f t="shared" si="18"/>
        <v>52462.800714870151</v>
      </c>
      <c r="K252" s="428">
        <f t="shared" si="19"/>
        <v>-4596.2270888393186</v>
      </c>
      <c r="L252" s="460">
        <f t="shared" si="20"/>
        <v>57059.027803709469</v>
      </c>
      <c r="M252" s="461">
        <f t="shared" si="21"/>
        <v>-547323.2506132368</v>
      </c>
    </row>
    <row r="253" spans="9:13" hidden="1">
      <c r="I253" s="428">
        <v>251</v>
      </c>
      <c r="J253" s="460">
        <f t="shared" si="18"/>
        <v>52462.800714870151</v>
      </c>
      <c r="K253" s="428">
        <f t="shared" si="19"/>
        <v>-5131.1554744990945</v>
      </c>
      <c r="L253" s="460">
        <f t="shared" si="20"/>
        <v>57593.956189369244</v>
      </c>
      <c r="M253" s="461">
        <f t="shared" si="21"/>
        <v>-604917.206802606</v>
      </c>
    </row>
    <row r="254" spans="9:13" hidden="1">
      <c r="I254" s="428">
        <v>252</v>
      </c>
      <c r="J254" s="460">
        <f t="shared" si="18"/>
        <v>52462.800714870151</v>
      </c>
      <c r="K254" s="428">
        <f t="shared" si="19"/>
        <v>-5671.0988137744307</v>
      </c>
      <c r="L254" s="460">
        <f t="shared" si="20"/>
        <v>58133.899528644579</v>
      </c>
      <c r="M254" s="461">
        <f t="shared" si="21"/>
        <v>-663051.10633125063</v>
      </c>
    </row>
    <row r="255" spans="9:13" hidden="1">
      <c r="I255" s="428">
        <v>253</v>
      </c>
      <c r="J255" s="460">
        <f t="shared" si="18"/>
        <v>52462.800714870151</v>
      </c>
      <c r="K255" s="428">
        <f t="shared" si="19"/>
        <v>-6216.1041218554747</v>
      </c>
      <c r="L255" s="460">
        <f t="shared" si="20"/>
        <v>58678.904836725626</v>
      </c>
      <c r="M255" s="461">
        <f t="shared" si="21"/>
        <v>-721730.01116797631</v>
      </c>
    </row>
    <row r="256" spans="9:13" hidden="1">
      <c r="I256" s="428">
        <v>254</v>
      </c>
      <c r="J256" s="460">
        <f t="shared" si="18"/>
        <v>52462.800714870151</v>
      </c>
      <c r="K256" s="428">
        <f t="shared" si="19"/>
        <v>-6766.2188546997777</v>
      </c>
      <c r="L256" s="460">
        <f t="shared" si="20"/>
        <v>59229.019569569929</v>
      </c>
      <c r="M256" s="461">
        <f t="shared" si="21"/>
        <v>-780959.03073754627</v>
      </c>
    </row>
    <row r="257" spans="9:13" hidden="1">
      <c r="I257" s="428">
        <v>255</v>
      </c>
      <c r="J257" s="460">
        <f t="shared" si="18"/>
        <v>52462.800714870151</v>
      </c>
      <c r="K257" s="428">
        <f t="shared" si="19"/>
        <v>-7321.4909131644963</v>
      </c>
      <c r="L257" s="460">
        <f t="shared" si="20"/>
        <v>59784.291628034647</v>
      </c>
      <c r="M257" s="461">
        <f t="shared" si="21"/>
        <v>-840743.32236558094</v>
      </c>
    </row>
    <row r="258" spans="9:13" hidden="1">
      <c r="I258" s="428">
        <v>256</v>
      </c>
      <c r="J258" s="460">
        <f t="shared" si="18"/>
        <v>52462.800714870151</v>
      </c>
      <c r="K258" s="428">
        <f t="shared" si="19"/>
        <v>-7881.9686471773211</v>
      </c>
      <c r="L258" s="460">
        <f t="shared" si="20"/>
        <v>60344.769362047475</v>
      </c>
      <c r="M258" s="461">
        <f t="shared" si="21"/>
        <v>-901088.09172762837</v>
      </c>
    </row>
    <row r="259" spans="9:13" hidden="1">
      <c r="I259" s="428">
        <v>257</v>
      </c>
      <c r="J259" s="460">
        <f t="shared" si="18"/>
        <v>52462.800714870151</v>
      </c>
      <c r="K259" s="428">
        <f t="shared" si="19"/>
        <v>-8447.7008599465153</v>
      </c>
      <c r="L259" s="460">
        <f t="shared" si="20"/>
        <v>60910.501574816662</v>
      </c>
      <c r="M259" s="461">
        <f t="shared" si="21"/>
        <v>-961998.59330244502</v>
      </c>
    </row>
    <row r="260" spans="9:13" hidden="1">
      <c r="I260" s="428">
        <v>258</v>
      </c>
      <c r="J260" s="460">
        <f t="shared" ref="J260:J302" si="22">$C$7</f>
        <v>52462.800714870151</v>
      </c>
      <c r="K260" s="428">
        <f t="shared" ref="K260:K302" si="23">M259*($C$5/12)</f>
        <v>-9018.7368122104217</v>
      </c>
      <c r="L260" s="460">
        <f t="shared" ref="L260:L302" si="24">J260-K260</f>
        <v>61481.537527080574</v>
      </c>
      <c r="M260" s="461">
        <f t="shared" ref="M260:M302" si="25">M259-L260</f>
        <v>-1023480.1308295256</v>
      </c>
    </row>
    <row r="261" spans="9:13" hidden="1">
      <c r="I261" s="428">
        <v>259</v>
      </c>
      <c r="J261" s="460">
        <f t="shared" si="22"/>
        <v>52462.800714870151</v>
      </c>
      <c r="K261" s="428">
        <f t="shared" si="23"/>
        <v>-9595.1262265268033</v>
      </c>
      <c r="L261" s="460">
        <f t="shared" si="24"/>
        <v>62057.926941396952</v>
      </c>
      <c r="M261" s="461">
        <f t="shared" si="25"/>
        <v>-1085538.0577709225</v>
      </c>
    </row>
    <row r="262" spans="9:13" hidden="1">
      <c r="I262" s="428">
        <v>260</v>
      </c>
      <c r="J262" s="460">
        <f t="shared" si="22"/>
        <v>52462.800714870151</v>
      </c>
      <c r="K262" s="428">
        <f t="shared" si="23"/>
        <v>-10176.919291602399</v>
      </c>
      <c r="L262" s="460">
        <f t="shared" si="24"/>
        <v>62639.720006472548</v>
      </c>
      <c r="M262" s="461">
        <f t="shared" si="25"/>
        <v>-1148177.7777773952</v>
      </c>
    </row>
    <row r="263" spans="9:13" hidden="1">
      <c r="I263" s="428">
        <v>261</v>
      </c>
      <c r="J263" s="460">
        <f t="shared" si="22"/>
        <v>52462.800714870151</v>
      </c>
      <c r="K263" s="428">
        <f t="shared" si="23"/>
        <v>-10764.166666663079</v>
      </c>
      <c r="L263" s="460">
        <f t="shared" si="24"/>
        <v>63226.967381533228</v>
      </c>
      <c r="M263" s="461">
        <f t="shared" si="25"/>
        <v>-1211404.7451589284</v>
      </c>
    </row>
    <row r="264" spans="9:13" hidden="1">
      <c r="I264" s="428">
        <v>262</v>
      </c>
      <c r="J264" s="460">
        <f t="shared" si="22"/>
        <v>52462.800714870151</v>
      </c>
      <c r="K264" s="428">
        <f t="shared" si="23"/>
        <v>-11356.919485864953</v>
      </c>
      <c r="L264" s="460">
        <f t="shared" si="24"/>
        <v>63819.720200735101</v>
      </c>
      <c r="M264" s="461">
        <f t="shared" si="25"/>
        <v>-1275224.4653596636</v>
      </c>
    </row>
    <row r="265" spans="9:13" hidden="1">
      <c r="I265" s="428">
        <v>263</v>
      </c>
      <c r="J265" s="460">
        <f t="shared" si="22"/>
        <v>52462.800714870151</v>
      </c>
      <c r="K265" s="428">
        <f t="shared" si="23"/>
        <v>-11955.229362746846</v>
      </c>
      <c r="L265" s="460">
        <f t="shared" si="24"/>
        <v>64418.030077616997</v>
      </c>
      <c r="M265" s="461">
        <f t="shared" si="25"/>
        <v>-1339642.4954372805</v>
      </c>
    </row>
    <row r="266" spans="9:13" hidden="1">
      <c r="I266" s="428">
        <v>264</v>
      </c>
      <c r="J266" s="460">
        <f t="shared" si="22"/>
        <v>52462.800714870151</v>
      </c>
      <c r="K266" s="428">
        <f t="shared" si="23"/>
        <v>-12559.148394724505</v>
      </c>
      <c r="L266" s="460">
        <f t="shared" si="24"/>
        <v>65021.949109594658</v>
      </c>
      <c r="M266" s="461">
        <f t="shared" si="25"/>
        <v>-1404664.4445468751</v>
      </c>
    </row>
    <row r="267" spans="9:13" hidden="1">
      <c r="I267" s="428">
        <v>265</v>
      </c>
      <c r="J267" s="460">
        <f t="shared" si="22"/>
        <v>52462.800714870151</v>
      </c>
      <c r="K267" s="428">
        <f t="shared" si="23"/>
        <v>-13168.729167626954</v>
      </c>
      <c r="L267" s="460">
        <f t="shared" si="24"/>
        <v>65631.529882497111</v>
      </c>
      <c r="M267" s="461">
        <f t="shared" si="25"/>
        <v>-1470295.9744293722</v>
      </c>
    </row>
    <row r="268" spans="9:13" hidden="1">
      <c r="I268" s="428">
        <v>266</v>
      </c>
      <c r="J268" s="460">
        <f t="shared" si="22"/>
        <v>52462.800714870151</v>
      </c>
      <c r="K268" s="428">
        <f t="shared" si="23"/>
        <v>-13784.024760275364</v>
      </c>
      <c r="L268" s="460">
        <f t="shared" si="24"/>
        <v>66246.82547514551</v>
      </c>
      <c r="M268" s="461">
        <f t="shared" si="25"/>
        <v>-1536542.7999045178</v>
      </c>
    </row>
    <row r="269" spans="9:13" hidden="1">
      <c r="I269" s="428">
        <v>267</v>
      </c>
      <c r="J269" s="460">
        <f t="shared" si="22"/>
        <v>52462.800714870151</v>
      </c>
      <c r="K269" s="428">
        <f t="shared" si="23"/>
        <v>-14405.088749104854</v>
      </c>
      <c r="L269" s="460">
        <f t="shared" si="24"/>
        <v>66867.889463975007</v>
      </c>
      <c r="M269" s="461">
        <f t="shared" si="25"/>
        <v>-1603410.6893684929</v>
      </c>
    </row>
    <row r="270" spans="9:13" hidden="1">
      <c r="I270" s="428">
        <v>268</v>
      </c>
      <c r="J270" s="460">
        <f t="shared" si="22"/>
        <v>52462.800714870151</v>
      </c>
      <c r="K270" s="428">
        <f t="shared" si="23"/>
        <v>-15031.97521282962</v>
      </c>
      <c r="L270" s="460">
        <f t="shared" si="24"/>
        <v>67494.775927699768</v>
      </c>
      <c r="M270" s="461">
        <f t="shared" si="25"/>
        <v>-1670905.4652961928</v>
      </c>
    </row>
    <row r="271" spans="9:13" hidden="1">
      <c r="I271" s="428">
        <v>269</v>
      </c>
      <c r="J271" s="460">
        <f t="shared" si="22"/>
        <v>52462.800714870151</v>
      </c>
      <c r="K271" s="428">
        <f t="shared" si="23"/>
        <v>-15664.738737151807</v>
      </c>
      <c r="L271" s="460">
        <f t="shared" si="24"/>
        <v>68127.539452021956</v>
      </c>
      <c r="M271" s="461">
        <f t="shared" si="25"/>
        <v>-1739033.0047482147</v>
      </c>
    </row>
    <row r="272" spans="9:13" hidden="1">
      <c r="I272" s="428">
        <v>270</v>
      </c>
      <c r="J272" s="460">
        <f t="shared" si="22"/>
        <v>52462.800714870151</v>
      </c>
      <c r="K272" s="428">
        <f t="shared" si="23"/>
        <v>-16303.434419514513</v>
      </c>
      <c r="L272" s="460">
        <f t="shared" si="24"/>
        <v>68766.235134384668</v>
      </c>
      <c r="M272" s="461">
        <f t="shared" si="25"/>
        <v>-1807799.2398825993</v>
      </c>
    </row>
    <row r="273" spans="9:13" hidden="1">
      <c r="I273" s="428">
        <v>271</v>
      </c>
      <c r="J273" s="460">
        <f t="shared" si="22"/>
        <v>52462.800714870151</v>
      </c>
      <c r="K273" s="428">
        <f t="shared" si="23"/>
        <v>-16948.117873899369</v>
      </c>
      <c r="L273" s="460">
        <f t="shared" si="24"/>
        <v>69410.91858876952</v>
      </c>
      <c r="M273" s="461">
        <f t="shared" si="25"/>
        <v>-1877210.158471369</v>
      </c>
    </row>
    <row r="274" spans="9:13" hidden="1">
      <c r="I274" s="428">
        <v>272</v>
      </c>
      <c r="J274" s="460">
        <f t="shared" si="22"/>
        <v>52462.800714870151</v>
      </c>
      <c r="K274" s="428">
        <f t="shared" si="23"/>
        <v>-17598.845235669083</v>
      </c>
      <c r="L274" s="460">
        <f t="shared" si="24"/>
        <v>70061.645950539241</v>
      </c>
      <c r="M274" s="461">
        <f t="shared" si="25"/>
        <v>-1947271.8044219082</v>
      </c>
    </row>
    <row r="275" spans="9:13" hidden="1">
      <c r="I275" s="428">
        <v>273</v>
      </c>
      <c r="J275" s="460">
        <f t="shared" si="22"/>
        <v>52462.800714870151</v>
      </c>
      <c r="K275" s="428">
        <f t="shared" si="23"/>
        <v>-18255.673166455388</v>
      </c>
      <c r="L275" s="460">
        <f t="shared" si="24"/>
        <v>70718.473881325539</v>
      </c>
      <c r="M275" s="461">
        <f t="shared" si="25"/>
        <v>-2017990.2783032337</v>
      </c>
    </row>
    <row r="276" spans="9:13" hidden="1">
      <c r="I276" s="428">
        <v>274</v>
      </c>
      <c r="J276" s="460">
        <f t="shared" si="22"/>
        <v>52462.800714870151</v>
      </c>
      <c r="K276" s="428">
        <f t="shared" si="23"/>
        <v>-18918.658859092815</v>
      </c>
      <c r="L276" s="460">
        <f t="shared" si="24"/>
        <v>71381.459573962959</v>
      </c>
      <c r="M276" s="461">
        <f t="shared" si="25"/>
        <v>-2089371.7378771966</v>
      </c>
    </row>
    <row r="277" spans="9:13" hidden="1">
      <c r="I277" s="428">
        <v>275</v>
      </c>
      <c r="J277" s="460">
        <f t="shared" si="22"/>
        <v>52462.800714870151</v>
      </c>
      <c r="K277" s="428">
        <f t="shared" si="23"/>
        <v>-19587.860042598717</v>
      </c>
      <c r="L277" s="460">
        <f t="shared" si="24"/>
        <v>72050.660757468868</v>
      </c>
      <c r="M277" s="461">
        <f t="shared" si="25"/>
        <v>-2161422.3986346656</v>
      </c>
    </row>
    <row r="278" spans="9:13" hidden="1">
      <c r="I278" s="428">
        <v>276</v>
      </c>
      <c r="J278" s="460">
        <f t="shared" si="22"/>
        <v>52462.800714870151</v>
      </c>
      <c r="K278" s="428">
        <f t="shared" si="23"/>
        <v>-20263.334987199989</v>
      </c>
      <c r="L278" s="460">
        <f t="shared" si="24"/>
        <v>72726.13570207014</v>
      </c>
      <c r="M278" s="461">
        <f t="shared" si="25"/>
        <v>-2234148.534336736</v>
      </c>
    </row>
    <row r="279" spans="9:13" hidden="1">
      <c r="I279" s="428">
        <v>277</v>
      </c>
      <c r="J279" s="460">
        <f t="shared" si="22"/>
        <v>52462.800714870151</v>
      </c>
      <c r="K279" s="428">
        <f t="shared" si="23"/>
        <v>-20945.142509406898</v>
      </c>
      <c r="L279" s="460">
        <f t="shared" si="24"/>
        <v>73407.943224277056</v>
      </c>
      <c r="M279" s="461">
        <f t="shared" si="25"/>
        <v>-2307556.4775610128</v>
      </c>
    </row>
    <row r="280" spans="9:13" hidden="1">
      <c r="I280" s="428">
        <v>278</v>
      </c>
      <c r="J280" s="460">
        <f t="shared" si="22"/>
        <v>52462.800714870151</v>
      </c>
      <c r="K280" s="428">
        <f t="shared" si="23"/>
        <v>-21633.341977134496</v>
      </c>
      <c r="L280" s="460">
        <f t="shared" si="24"/>
        <v>74096.142692004651</v>
      </c>
      <c r="M280" s="461">
        <f t="shared" si="25"/>
        <v>-2381652.6202530176</v>
      </c>
    </row>
    <row r="281" spans="9:13" hidden="1">
      <c r="I281" s="428">
        <v>279</v>
      </c>
      <c r="J281" s="460">
        <f t="shared" si="22"/>
        <v>52462.800714870151</v>
      </c>
      <c r="K281" s="428">
        <f t="shared" si="23"/>
        <v>-22327.993314872041</v>
      </c>
      <c r="L281" s="460">
        <f t="shared" si="24"/>
        <v>74790.794029742188</v>
      </c>
      <c r="M281" s="461">
        <f t="shared" si="25"/>
        <v>-2456443.4142827597</v>
      </c>
    </row>
    <row r="282" spans="9:13" hidden="1">
      <c r="I282" s="428">
        <v>280</v>
      </c>
      <c r="J282" s="460">
        <f t="shared" si="22"/>
        <v>52462.800714870151</v>
      </c>
      <c r="K282" s="428">
        <f t="shared" si="23"/>
        <v>-23029.157008900871</v>
      </c>
      <c r="L282" s="460">
        <f t="shared" si="24"/>
        <v>75491.957723771018</v>
      </c>
      <c r="M282" s="461">
        <f t="shared" si="25"/>
        <v>-2531935.3720065309</v>
      </c>
    </row>
    <row r="283" spans="9:13" hidden="1">
      <c r="I283" s="428">
        <v>281</v>
      </c>
      <c r="J283" s="460">
        <f t="shared" si="22"/>
        <v>52462.800714870151</v>
      </c>
      <c r="K283" s="428">
        <f t="shared" si="23"/>
        <v>-23736.894112561225</v>
      </c>
      <c r="L283" s="460">
        <f t="shared" si="24"/>
        <v>76199.694827431376</v>
      </c>
      <c r="M283" s="461">
        <f t="shared" si="25"/>
        <v>-2608135.0668339622</v>
      </c>
    </row>
    <row r="284" spans="9:13" hidden="1">
      <c r="I284" s="428">
        <v>282</v>
      </c>
      <c r="J284" s="460">
        <f t="shared" si="22"/>
        <v>52462.800714870151</v>
      </c>
      <c r="K284" s="428">
        <f t="shared" si="23"/>
        <v>-24451.266251568395</v>
      </c>
      <c r="L284" s="460">
        <f t="shared" si="24"/>
        <v>76914.06696643855</v>
      </c>
      <c r="M284" s="461">
        <f t="shared" si="25"/>
        <v>-2685049.1338004009</v>
      </c>
    </row>
    <row r="285" spans="9:13" hidden="1">
      <c r="I285" s="428">
        <v>283</v>
      </c>
      <c r="J285" s="460">
        <f t="shared" si="22"/>
        <v>52462.800714870151</v>
      </c>
      <c r="K285" s="428">
        <f t="shared" si="23"/>
        <v>-25172.335629378758</v>
      </c>
      <c r="L285" s="460">
        <f t="shared" si="24"/>
        <v>77635.136344248909</v>
      </c>
      <c r="M285" s="461">
        <f t="shared" si="25"/>
        <v>-2762684.2701446498</v>
      </c>
    </row>
    <row r="286" spans="9:13" hidden="1">
      <c r="I286" s="428">
        <v>284</v>
      </c>
      <c r="J286" s="460">
        <f t="shared" si="22"/>
        <v>52462.800714870151</v>
      </c>
      <c r="K286" s="428">
        <f t="shared" si="23"/>
        <v>-25900.165032606092</v>
      </c>
      <c r="L286" s="460">
        <f t="shared" si="24"/>
        <v>78362.965747476235</v>
      </c>
      <c r="M286" s="461">
        <f t="shared" si="25"/>
        <v>-2841047.2358921259</v>
      </c>
    </row>
    <row r="287" spans="9:13" hidden="1">
      <c r="I287" s="428">
        <v>285</v>
      </c>
      <c r="J287" s="460">
        <f t="shared" si="22"/>
        <v>52462.800714870151</v>
      </c>
      <c r="K287" s="428">
        <f t="shared" si="23"/>
        <v>-26634.817836488681</v>
      </c>
      <c r="L287" s="460">
        <f t="shared" si="24"/>
        <v>79097.618551358828</v>
      </c>
      <c r="M287" s="461">
        <f t="shared" si="25"/>
        <v>-2920144.8544434849</v>
      </c>
    </row>
    <row r="288" spans="9:13" hidden="1">
      <c r="I288" s="428">
        <v>286</v>
      </c>
      <c r="J288" s="460">
        <f t="shared" si="22"/>
        <v>52462.800714870151</v>
      </c>
      <c r="K288" s="428">
        <f t="shared" si="23"/>
        <v>-27376.358010407672</v>
      </c>
      <c r="L288" s="460">
        <f t="shared" si="24"/>
        <v>79839.158725277826</v>
      </c>
      <c r="M288" s="461">
        <f t="shared" si="25"/>
        <v>-2999984.0131687629</v>
      </c>
    </row>
    <row r="289" spans="9:13" hidden="1">
      <c r="I289" s="428">
        <v>287</v>
      </c>
      <c r="J289" s="460">
        <f t="shared" si="22"/>
        <v>52462.800714870151</v>
      </c>
      <c r="K289" s="428">
        <f t="shared" si="23"/>
        <v>-28124.850123457152</v>
      </c>
      <c r="L289" s="460">
        <f t="shared" si="24"/>
        <v>80587.650838327303</v>
      </c>
      <c r="M289" s="461">
        <f t="shared" si="25"/>
        <v>-3080571.66400709</v>
      </c>
    </row>
    <row r="290" spans="9:13" hidden="1">
      <c r="I290" s="428">
        <v>288</v>
      </c>
      <c r="J290" s="460">
        <f t="shared" si="22"/>
        <v>52462.800714870151</v>
      </c>
      <c r="K290" s="428">
        <f t="shared" si="23"/>
        <v>-28880.359350066468</v>
      </c>
      <c r="L290" s="460">
        <f t="shared" si="24"/>
        <v>81343.160064936616</v>
      </c>
      <c r="M290" s="461">
        <f t="shared" si="25"/>
        <v>-3161914.8240720266</v>
      </c>
    </row>
    <row r="291" spans="9:13" hidden="1">
      <c r="I291" s="428">
        <v>289</v>
      </c>
      <c r="J291" s="460">
        <f t="shared" si="22"/>
        <v>52462.800714870151</v>
      </c>
      <c r="K291" s="428">
        <f t="shared" si="23"/>
        <v>-29642.951475675247</v>
      </c>
      <c r="L291" s="460">
        <f t="shared" si="24"/>
        <v>82105.752190545405</v>
      </c>
      <c r="M291" s="461">
        <f t="shared" si="25"/>
        <v>-3244020.5762625718</v>
      </c>
    </row>
    <row r="292" spans="9:13" hidden="1">
      <c r="I292" s="428">
        <v>290</v>
      </c>
      <c r="J292" s="460">
        <f t="shared" si="22"/>
        <v>52462.800714870151</v>
      </c>
      <c r="K292" s="428">
        <f t="shared" si="23"/>
        <v>-30412.692902461611</v>
      </c>
      <c r="L292" s="460">
        <f t="shared" si="24"/>
        <v>82875.493617331755</v>
      </c>
      <c r="M292" s="461">
        <f t="shared" si="25"/>
        <v>-3326896.0698799035</v>
      </c>
    </row>
    <row r="293" spans="9:13" hidden="1">
      <c r="I293" s="428">
        <v>291</v>
      </c>
      <c r="J293" s="460">
        <f t="shared" si="22"/>
        <v>52462.800714870151</v>
      </c>
      <c r="K293" s="428">
        <f t="shared" si="23"/>
        <v>-31189.650655124093</v>
      </c>
      <c r="L293" s="460">
        <f t="shared" si="24"/>
        <v>83652.451369994247</v>
      </c>
      <c r="M293" s="461">
        <f t="shared" si="25"/>
        <v>-3410548.5212498978</v>
      </c>
    </row>
    <row r="294" spans="9:13" hidden="1">
      <c r="I294" s="428">
        <v>292</v>
      </c>
      <c r="J294" s="460">
        <f t="shared" si="22"/>
        <v>52462.800714870151</v>
      </c>
      <c r="K294" s="428">
        <f t="shared" si="23"/>
        <v>-31973.892386717791</v>
      </c>
      <c r="L294" s="460">
        <f t="shared" si="24"/>
        <v>84436.693101587938</v>
      </c>
      <c r="M294" s="461">
        <f t="shared" si="25"/>
        <v>-3494985.2143514855</v>
      </c>
    </row>
    <row r="295" spans="9:13" hidden="1">
      <c r="I295" s="428">
        <v>293</v>
      </c>
      <c r="J295" s="460">
        <f t="shared" si="22"/>
        <v>52462.800714870151</v>
      </c>
      <c r="K295" s="428">
        <f t="shared" si="23"/>
        <v>-32765.486384545176</v>
      </c>
      <c r="L295" s="460">
        <f t="shared" si="24"/>
        <v>85228.28709941532</v>
      </c>
      <c r="M295" s="461">
        <f t="shared" si="25"/>
        <v>-3580213.5014509009</v>
      </c>
    </row>
    <row r="296" spans="9:13" hidden="1">
      <c r="I296" s="428">
        <v>294</v>
      </c>
      <c r="J296" s="460">
        <f t="shared" si="22"/>
        <v>52462.800714870151</v>
      </c>
      <c r="K296" s="428">
        <f t="shared" si="23"/>
        <v>-33564.501576102193</v>
      </c>
      <c r="L296" s="460">
        <f t="shared" si="24"/>
        <v>86027.302290972351</v>
      </c>
      <c r="M296" s="461">
        <f t="shared" si="25"/>
        <v>-3666240.8037418732</v>
      </c>
    </row>
    <row r="297" spans="9:13" hidden="1">
      <c r="I297" s="428">
        <v>295</v>
      </c>
      <c r="J297" s="460">
        <f t="shared" si="22"/>
        <v>52462.800714870151</v>
      </c>
      <c r="K297" s="428">
        <f t="shared" si="23"/>
        <v>-34371.007535080062</v>
      </c>
      <c r="L297" s="460">
        <f t="shared" si="24"/>
        <v>86833.808249950205</v>
      </c>
      <c r="M297" s="461">
        <f t="shared" si="25"/>
        <v>-3753074.6119918237</v>
      </c>
    </row>
    <row r="298" spans="9:13" hidden="1">
      <c r="I298" s="428">
        <v>296</v>
      </c>
      <c r="J298" s="460">
        <f t="shared" si="22"/>
        <v>52462.800714870151</v>
      </c>
      <c r="K298" s="428">
        <f t="shared" si="23"/>
        <v>-35185.074487423342</v>
      </c>
      <c r="L298" s="460">
        <f t="shared" si="24"/>
        <v>87647.875202293493</v>
      </c>
      <c r="M298" s="461">
        <f t="shared" si="25"/>
        <v>-3840722.4871941172</v>
      </c>
    </row>
    <row r="299" spans="9:13" hidden="1">
      <c r="I299" s="428">
        <v>297</v>
      </c>
      <c r="J299" s="460">
        <f t="shared" si="22"/>
        <v>52462.800714870151</v>
      </c>
      <c r="K299" s="428">
        <f t="shared" si="23"/>
        <v>-36006.773317444844</v>
      </c>
      <c r="L299" s="460">
        <f t="shared" si="24"/>
        <v>88469.574032314995</v>
      </c>
      <c r="M299" s="461">
        <f t="shared" si="25"/>
        <v>-3929192.0612264322</v>
      </c>
    </row>
    <row r="300" spans="9:13" hidden="1">
      <c r="I300" s="428">
        <v>298</v>
      </c>
      <c r="J300" s="460">
        <f t="shared" si="22"/>
        <v>52462.800714870151</v>
      </c>
      <c r="K300" s="428">
        <f t="shared" si="23"/>
        <v>-36836.175573997803</v>
      </c>
      <c r="L300" s="460">
        <f t="shared" si="24"/>
        <v>89298.976288867954</v>
      </c>
      <c r="M300" s="461">
        <f t="shared" si="25"/>
        <v>-4018491.0375153003</v>
      </c>
    </row>
    <row r="301" spans="9:13" hidden="1">
      <c r="I301" s="428">
        <v>299</v>
      </c>
      <c r="J301" s="460">
        <f t="shared" si="22"/>
        <v>52462.800714870151</v>
      </c>
      <c r="K301" s="428">
        <f t="shared" si="23"/>
        <v>-37673.353476705939</v>
      </c>
      <c r="L301" s="460">
        <f t="shared" si="24"/>
        <v>90136.15419157609</v>
      </c>
      <c r="M301" s="461">
        <f t="shared" si="25"/>
        <v>-4108627.1917068763</v>
      </c>
    </row>
    <row r="302" spans="9:13" hidden="1">
      <c r="I302" s="428">
        <v>300</v>
      </c>
      <c r="J302" s="460">
        <f t="shared" si="22"/>
        <v>52462.800714870151</v>
      </c>
      <c r="K302" s="428">
        <f t="shared" si="23"/>
        <v>-38518.379922251966</v>
      </c>
      <c r="L302" s="460">
        <f t="shared" si="24"/>
        <v>90981.180637122117</v>
      </c>
      <c r="M302" s="461">
        <f t="shared" si="25"/>
        <v>-4199608.3723439984</v>
      </c>
    </row>
  </sheetData>
  <sheetProtection algorithmName="SHA-512" hashValue="qlSV4vlA6gaE1HhsYBwcRzb5kaTrQqcw7eegmRam7mRyhV9JAivSoeXswED3mJa+NsDMCAa90b1BE4FQb3RA+Q==" saltValue="lp+HkIrSp71uxMTD46nnQA==" spinCount="100000" sheet="1" objects="1" scenarios="1"/>
  <mergeCells count="6">
    <mergeCell ref="D8:G8"/>
    <mergeCell ref="B11:C11"/>
    <mergeCell ref="E11:F11"/>
    <mergeCell ref="A1:G2"/>
    <mergeCell ref="B19:C21"/>
    <mergeCell ref="E19:F20"/>
  </mergeCells>
  <dataValidations count="1">
    <dataValidation type="whole" allowBlank="1" showInputMessage="1" showErrorMessage="1" errorTitle="Alert!" error="Tenure of loan can be maximum 25 years" sqref="C6" xr:uid="{00000000-0002-0000-0900-000000000000}">
      <formula1>1</formula1>
      <formula2>25</formula2>
    </dataValidation>
  </dataValidations>
  <pageMargins left="0.7" right="0.7" top="0.75" bottom="0.75" header="0.3" footer="0.3"/>
  <pageSetup scale="97" orientation="landscape"/>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P30"/>
  <sheetViews>
    <sheetView showGridLines="0" workbookViewId="0">
      <selection sqref="A1:F1"/>
    </sheetView>
  </sheetViews>
  <sheetFormatPr defaultColWidth="0" defaultRowHeight="14.4" zeroHeight="1"/>
  <cols>
    <col min="1" max="1" width="13.77734375" style="403" customWidth="1"/>
    <col min="2" max="2" width="26.5546875" style="403" customWidth="1"/>
    <col min="3" max="3" width="7.21875" style="403" customWidth="1"/>
    <col min="4" max="4" width="3" style="403" customWidth="1"/>
    <col min="5" max="5" width="20.77734375" style="403" customWidth="1"/>
    <col min="6" max="6" width="14.33203125" style="403" customWidth="1"/>
    <col min="7" max="10" width="9.21875" style="403" customWidth="1"/>
    <col min="11" max="11" width="9.21875" style="403" hidden="1" customWidth="1"/>
    <col min="12" max="16384" width="9.21875" style="403" hidden="1"/>
  </cols>
  <sheetData>
    <row r="1" spans="1:16" ht="24" customHeight="1">
      <c r="A1" s="863" t="s">
        <v>197</v>
      </c>
      <c r="B1" s="863"/>
      <c r="C1" s="863"/>
      <c r="D1" s="863"/>
      <c r="E1" s="863"/>
      <c r="F1" s="863"/>
    </row>
    <row r="2" spans="1:16">
      <c r="A2" s="404" t="s">
        <v>198</v>
      </c>
      <c r="B2" s="405"/>
      <c r="C2" s="405"/>
      <c r="E2" s="406" t="s">
        <v>199</v>
      </c>
      <c r="F2" s="407">
        <f ca="1">TODAY()</f>
        <v>44340</v>
      </c>
    </row>
    <row r="3" spans="1:16" ht="33.75" customHeight="1">
      <c r="A3" s="408" t="s">
        <v>200</v>
      </c>
      <c r="B3" s="409" t="s">
        <v>201</v>
      </c>
      <c r="C3" s="408" t="s">
        <v>202</v>
      </c>
      <c r="D3" s="410"/>
      <c r="E3" s="408" t="s">
        <v>203</v>
      </c>
      <c r="F3" s="409" t="s">
        <v>204</v>
      </c>
    </row>
    <row r="4" spans="1:16">
      <c r="A4" s="411" t="s">
        <v>205</v>
      </c>
      <c r="B4" s="412"/>
      <c r="C4" s="413"/>
      <c r="D4" s="414"/>
      <c r="E4" s="415" t="s">
        <v>206</v>
      </c>
      <c r="F4" s="416"/>
    </row>
    <row r="5" spans="1:16">
      <c r="A5" s="411" t="s">
        <v>207</v>
      </c>
      <c r="B5" s="413"/>
      <c r="C5" s="413"/>
      <c r="D5" s="414"/>
      <c r="E5" s="415" t="s">
        <v>208</v>
      </c>
      <c r="F5" s="416"/>
    </row>
    <row r="6" spans="1:16">
      <c r="A6" s="411" t="s">
        <v>209</v>
      </c>
      <c r="B6" s="413"/>
      <c r="C6" s="413"/>
      <c r="D6" s="414"/>
      <c r="E6" s="415" t="s">
        <v>210</v>
      </c>
      <c r="F6" s="416"/>
      <c r="O6" s="403" t="str">
        <f>IF(ISERROR(LEFT(B6,FIND(" ",B6,1)-1)),"",LEFT(B6,FIND(" ",B6,1)-1))</f>
        <v/>
      </c>
      <c r="P6" s="427"/>
    </row>
    <row r="7" spans="1:16">
      <c r="A7" s="411" t="s">
        <v>211</v>
      </c>
      <c r="B7" s="413"/>
      <c r="C7" s="413"/>
      <c r="D7" s="414"/>
      <c r="E7" s="415" t="s">
        <v>212</v>
      </c>
      <c r="F7" s="416"/>
      <c r="O7" s="403" t="str">
        <f>IF(ISERROR(LEFT(B7,FIND(" ",B7,1)-1)),"",LEFT(B7,FIND(" ",B7,1)-1))</f>
        <v/>
      </c>
      <c r="P7" s="427"/>
    </row>
    <row r="8" spans="1:16">
      <c r="A8" s="411" t="s">
        <v>213</v>
      </c>
      <c r="B8" s="413"/>
      <c r="C8" s="413"/>
      <c r="D8" s="414"/>
      <c r="E8" s="415" t="s">
        <v>214</v>
      </c>
      <c r="F8" s="416"/>
      <c r="O8" s="403" t="str">
        <f>IF(ISERROR(LEFT(B8,FIND(" ",B8,1)-1)),"",LEFT(B8,FIND(" ",B8,1)-1))</f>
        <v/>
      </c>
      <c r="P8" s="427"/>
    </row>
    <row r="9" spans="1:16" ht="7.5" customHeight="1">
      <c r="A9" s="414"/>
      <c r="B9" s="414"/>
      <c r="C9" s="414"/>
      <c r="D9" s="414"/>
      <c r="E9" s="414"/>
      <c r="F9" s="414"/>
    </row>
    <row r="10" spans="1:16" ht="33.75" customHeight="1">
      <c r="A10" s="409" t="s">
        <v>215</v>
      </c>
      <c r="B10" s="409" t="s">
        <v>216</v>
      </c>
      <c r="C10" s="409" t="s">
        <v>217</v>
      </c>
      <c r="D10" s="414"/>
      <c r="E10" s="408" t="s">
        <v>218</v>
      </c>
      <c r="F10" s="409" t="s">
        <v>204</v>
      </c>
    </row>
    <row r="11" spans="1:16">
      <c r="A11" s="416"/>
      <c r="B11" s="413"/>
      <c r="C11" s="417"/>
      <c r="D11" s="414"/>
      <c r="E11" s="418" t="s">
        <v>219</v>
      </c>
      <c r="F11" s="416"/>
      <c r="N11" t="str">
        <f>IF(OR(O11="",O11=0),"",MAX(N$3:N10)+1)</f>
        <v/>
      </c>
      <c r="O11" s="403" t="str">
        <f>IF($O$6="","",$O$6&amp;"'s Higher Education")</f>
        <v/>
      </c>
      <c r="P11" t="str">
        <f>IFERROR(INDEX($O$11:$O$30,MATCH(ROW()-ROW($N$10),$N$11:$N$30,0)),"")</f>
        <v>Vacation - Domestic</v>
      </c>
    </row>
    <row r="12" spans="1:16">
      <c r="A12" s="416"/>
      <c r="B12" s="413"/>
      <c r="C12" s="417"/>
      <c r="D12" s="414"/>
      <c r="E12" s="419" t="s">
        <v>220</v>
      </c>
      <c r="F12" s="416"/>
      <c r="N12" t="str">
        <f>IF(OR(O12="",O12=0),"",MAX(N$3:N11)+1)</f>
        <v/>
      </c>
      <c r="O12" s="403" t="str">
        <f>IF($O$6="","",$O$6&amp;"'s Graduation")</f>
        <v/>
      </c>
      <c r="P12" t="str">
        <f t="shared" ref="P12:P30" si="0">IFERROR(INDEX($O$11:$O$30,MATCH(ROW()-ROW($N$10),$N$11:$N$30,0)),"")</f>
        <v>Vacation - International</v>
      </c>
    </row>
    <row r="13" spans="1:16">
      <c r="A13" s="416"/>
      <c r="B13" s="413"/>
      <c r="C13" s="417"/>
      <c r="D13" s="414"/>
      <c r="E13" s="419" t="s">
        <v>221</v>
      </c>
      <c r="F13" s="416"/>
      <c r="N13" t="str">
        <f>IF(OR(O13="",O13=0),"",MAX(N$3:N12)+1)</f>
        <v/>
      </c>
      <c r="O13" s="403" t="str">
        <f>IF($O$6="","",$O$6&amp;"'s Post Graduation")</f>
        <v/>
      </c>
      <c r="P13" t="str">
        <f t="shared" si="0"/>
        <v>Buying Car</v>
      </c>
    </row>
    <row r="14" spans="1:16">
      <c r="A14" s="416"/>
      <c r="B14" s="413"/>
      <c r="C14" s="417"/>
      <c r="D14" s="414"/>
      <c r="E14" s="419" t="s">
        <v>222</v>
      </c>
      <c r="F14" s="416"/>
      <c r="N14" t="str">
        <f>IF(OR(O14="",O14=0),"",MAX(N$3:N13)+1)</f>
        <v/>
      </c>
      <c r="O14" s="403" t="str">
        <f>IF($O$6="","",$O$6&amp;"'s Marriage")</f>
        <v/>
      </c>
      <c r="P14" t="str">
        <f t="shared" si="0"/>
        <v>Buying House</v>
      </c>
    </row>
    <row r="15" spans="1:16">
      <c r="A15" s="416"/>
      <c r="B15" s="413"/>
      <c r="C15" s="417"/>
      <c r="D15" s="414"/>
      <c r="E15" s="419" t="s">
        <v>223</v>
      </c>
      <c r="F15" s="416"/>
      <c r="N15" t="str">
        <f>IF(OR(O15="",O15=0),"",MAX(N$3:N14)+1)</f>
        <v/>
      </c>
      <c r="O15" s="403" t="str">
        <f>IF($O$7="","",$O$7&amp;"'s Higher Education")</f>
        <v/>
      </c>
      <c r="P15" t="str">
        <f t="shared" si="0"/>
        <v>Home Renovation</v>
      </c>
    </row>
    <row r="16" spans="1:16">
      <c r="A16" s="416"/>
      <c r="B16" s="413"/>
      <c r="C16" s="417"/>
      <c r="D16" s="414"/>
      <c r="E16" s="418" t="s">
        <v>224</v>
      </c>
      <c r="F16" s="416"/>
      <c r="N16" t="str">
        <f>IF(OR(O16="",O16=0),"",MAX(N$3:N15)+1)</f>
        <v/>
      </c>
      <c r="O16" s="403" t="str">
        <f>IF($O$7="","",$O$7&amp;"'s Graduation")</f>
        <v/>
      </c>
      <c r="P16" t="str">
        <f t="shared" si="0"/>
        <v>Big Purchase</v>
      </c>
    </row>
    <row r="17" spans="1:16">
      <c r="A17" s="416"/>
      <c r="B17" s="413"/>
      <c r="C17" s="417"/>
      <c r="D17" s="414"/>
      <c r="E17" s="418" t="s">
        <v>225</v>
      </c>
      <c r="F17" s="416"/>
      <c r="N17" t="str">
        <f>IF(OR(O17="",O17=0),"",MAX(N$3:N16)+1)</f>
        <v/>
      </c>
      <c r="O17" s="403" t="str">
        <f>IF($O$7="","",$O$7&amp;"'s Post Graduation")</f>
        <v/>
      </c>
      <c r="P17" t="str">
        <f t="shared" si="0"/>
        <v>Miscellaneous</v>
      </c>
    </row>
    <row r="18" spans="1:16">
      <c r="A18" s="416"/>
      <c r="B18" s="413"/>
      <c r="C18" s="417"/>
      <c r="D18" s="414"/>
      <c r="E18" s="414"/>
      <c r="F18" s="414"/>
      <c r="N18" t="str">
        <f>IF(OR(O18="",O18=0),"",MAX(N$3:N17)+1)</f>
        <v/>
      </c>
      <c r="O18" s="403" t="str">
        <f>IF($O$7="","",$O$7&amp;"'s Marriage")</f>
        <v/>
      </c>
      <c r="P18" t="str">
        <f t="shared" si="0"/>
        <v>Wealth Creation</v>
      </c>
    </row>
    <row r="19" spans="1:16">
      <c r="A19" s="416"/>
      <c r="B19" s="413"/>
      <c r="C19" s="417"/>
      <c r="D19" s="414"/>
      <c r="E19" s="408" t="s">
        <v>226</v>
      </c>
      <c r="F19" s="408" t="s">
        <v>227</v>
      </c>
      <c r="N19" t="str">
        <f>IF(OR(O19="",O19=0),"",MAX(N$3:N18)+1)</f>
        <v/>
      </c>
      <c r="O19" s="403" t="str">
        <f>IF($O$8="","",$O$8&amp;"'s Higher Education")</f>
        <v/>
      </c>
      <c r="P19" t="str">
        <f t="shared" si="0"/>
        <v/>
      </c>
    </row>
    <row r="20" spans="1:16">
      <c r="A20" s="416"/>
      <c r="B20" s="413"/>
      <c r="C20" s="417"/>
      <c r="D20" s="414"/>
      <c r="E20" s="411" t="s">
        <v>228</v>
      </c>
      <c r="F20" s="416"/>
      <c r="N20" t="str">
        <f>IF(OR(O20="",O20=0),"",MAX(N$3:N19)+1)</f>
        <v/>
      </c>
      <c r="O20" s="403" t="str">
        <f>IF($O$8="","",$O$8&amp;"'s Graduation")</f>
        <v/>
      </c>
      <c r="P20" t="str">
        <f t="shared" si="0"/>
        <v/>
      </c>
    </row>
    <row r="21" spans="1:16">
      <c r="A21" s="416"/>
      <c r="B21" s="413"/>
      <c r="C21" s="417"/>
      <c r="D21" s="414"/>
      <c r="E21" s="411" t="s">
        <v>229</v>
      </c>
      <c r="F21" s="416"/>
      <c r="N21" t="str">
        <f>IF(OR(O21="",O21=0),"",MAX(N$3:N20)+1)</f>
        <v/>
      </c>
      <c r="O21" s="403" t="str">
        <f>IF($O$8="","",$O$8&amp;"'s Post Graduation")</f>
        <v/>
      </c>
      <c r="P21" t="str">
        <f t="shared" si="0"/>
        <v/>
      </c>
    </row>
    <row r="22" spans="1:16">
      <c r="A22" s="420"/>
      <c r="B22" s="421"/>
      <c r="C22" s="422"/>
      <c r="D22" s="414"/>
      <c r="E22" s="411" t="s">
        <v>230</v>
      </c>
      <c r="F22" s="416"/>
      <c r="N22" t="str">
        <f>IF(OR(O22="",O22=0),"",MAX(N$3:N21)+1)</f>
        <v/>
      </c>
      <c r="O22" s="403" t="str">
        <f>IF($O$8="","",$O$8&amp;"'s Marriage")</f>
        <v/>
      </c>
      <c r="P22" t="str">
        <f t="shared" si="0"/>
        <v/>
      </c>
    </row>
    <row r="23" spans="1:16">
      <c r="A23" s="423"/>
      <c r="B23" s="864"/>
      <c r="C23" s="864"/>
      <c r="D23" s="414"/>
      <c r="E23" s="411" t="s">
        <v>231</v>
      </c>
      <c r="F23" s="416"/>
      <c r="N23">
        <f>IF(OR(O23="",O23=0),"",MAX(N$3:N22)+1)</f>
        <v>1</v>
      </c>
      <c r="O23" s="427" t="s">
        <v>232</v>
      </c>
      <c r="P23" t="str">
        <f t="shared" si="0"/>
        <v/>
      </c>
    </row>
    <row r="24" spans="1:16">
      <c r="A24" s="424"/>
      <c r="B24" s="425" t="s">
        <v>233</v>
      </c>
      <c r="C24" s="417"/>
      <c r="D24" s="414"/>
      <c r="E24" s="411" t="s">
        <v>234</v>
      </c>
      <c r="F24" s="416"/>
      <c r="N24">
        <f>IF(OR(O24="",O24=0),"",MAX(N$3:N23)+1)</f>
        <v>2</v>
      </c>
      <c r="O24" s="427" t="s">
        <v>235</v>
      </c>
      <c r="P24" t="str">
        <f t="shared" si="0"/>
        <v/>
      </c>
    </row>
    <row r="25" spans="1:16">
      <c r="A25" s="426"/>
      <c r="B25" s="425" t="s">
        <v>236</v>
      </c>
      <c r="C25" s="417"/>
      <c r="D25" s="414"/>
      <c r="E25" s="411" t="s">
        <v>237</v>
      </c>
      <c r="F25" s="416"/>
      <c r="N25">
        <f>IF(OR(O25="",O25=0),"",MAX(N$3:N24)+1)</f>
        <v>3</v>
      </c>
      <c r="O25" s="427" t="s">
        <v>238</v>
      </c>
      <c r="P25" t="str">
        <f t="shared" si="0"/>
        <v/>
      </c>
    </row>
    <row r="26" spans="1:16">
      <c r="N26">
        <f>IF(OR(O26="",O26=0),"",MAX(N$3:N25)+1)</f>
        <v>4</v>
      </c>
      <c r="O26" s="427" t="s">
        <v>239</v>
      </c>
      <c r="P26" t="str">
        <f t="shared" si="0"/>
        <v/>
      </c>
    </row>
    <row r="27" spans="1:16" hidden="1">
      <c r="N27">
        <f>IF(OR(O27="",O27=0),"",MAX(N$3:N26)+1)</f>
        <v>5</v>
      </c>
      <c r="O27" s="427" t="s">
        <v>240</v>
      </c>
      <c r="P27" t="str">
        <f t="shared" si="0"/>
        <v/>
      </c>
    </row>
    <row r="28" spans="1:16" hidden="1">
      <c r="N28">
        <f>IF(OR(O28="",O28=0),"",MAX(N$3:N27)+1)</f>
        <v>6</v>
      </c>
      <c r="O28" s="427" t="s">
        <v>241</v>
      </c>
      <c r="P28" t="str">
        <f t="shared" si="0"/>
        <v/>
      </c>
    </row>
    <row r="29" spans="1:16" hidden="1">
      <c r="N29">
        <f>IF(OR(O29="",O29=0),"",MAX(N$3:N28)+1)</f>
        <v>7</v>
      </c>
      <c r="O29" s="427" t="s">
        <v>242</v>
      </c>
      <c r="P29" t="str">
        <f t="shared" si="0"/>
        <v/>
      </c>
    </row>
    <row r="30" spans="1:16" hidden="1">
      <c r="N30">
        <f>IF(OR(O30="",O30=0),"",MAX(N$3:N29)+1)</f>
        <v>8</v>
      </c>
      <c r="O30" s="427" t="s">
        <v>243</v>
      </c>
      <c r="P30" t="str">
        <f t="shared" si="0"/>
        <v/>
      </c>
    </row>
  </sheetData>
  <sheetProtection password="F3D2" sheet="1" objects="1"/>
  <mergeCells count="2">
    <mergeCell ref="A1:F1"/>
    <mergeCell ref="B23:C23"/>
  </mergeCells>
  <dataValidations count="1">
    <dataValidation type="list" allowBlank="1" showInputMessage="1" showErrorMessage="1" sqref="B11:B21" xr:uid="{00000000-0002-0000-0A00-000000000000}">
      <formula1>GOALS</formula1>
    </dataValidation>
  </dataValidations>
  <printOptions horizontalCentered="1"/>
  <pageMargins left="0.25" right="0.25" top="0.75" bottom="0.75" header="0.3" footer="0.3"/>
  <pageSetup scale="99" orientation="portrait"/>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K29"/>
  <sheetViews>
    <sheetView showGridLines="0" workbookViewId="0">
      <selection activeCell="D3" sqref="D3"/>
    </sheetView>
  </sheetViews>
  <sheetFormatPr defaultColWidth="0" defaultRowHeight="13.2" zeroHeight="1"/>
  <cols>
    <col min="1" max="1" width="1.77734375" style="14" customWidth="1"/>
    <col min="2" max="2" width="31.44140625" style="14" customWidth="1"/>
    <col min="3" max="3" width="16.33203125" style="14" customWidth="1"/>
    <col min="4" max="4" width="14.33203125" style="14" customWidth="1"/>
    <col min="5" max="5" width="14.88671875" style="14" customWidth="1"/>
    <col min="6" max="6" width="11.77734375" style="14" customWidth="1"/>
    <col min="7" max="7" width="10.6640625" style="14" customWidth="1"/>
    <col min="8" max="8" width="9.6640625" style="14" customWidth="1"/>
    <col min="9" max="9" width="13.21875" style="14" customWidth="1"/>
    <col min="10" max="10" width="10" style="14" hidden="1" customWidth="1"/>
    <col min="11" max="11" width="12" style="14" customWidth="1"/>
    <col min="12" max="16384" width="9.21875" style="14" hidden="1"/>
  </cols>
  <sheetData>
    <row r="1" spans="2:10" ht="22.5" customHeight="1">
      <c r="B1" s="876" t="str">
        <f>"-: FINANCIAL PLAN of "&amp;UPPER(DCF!B4)&amp;":-"</f>
        <v>-: FINANCIAL PLAN of :-</v>
      </c>
      <c r="C1" s="876"/>
      <c r="D1" s="876"/>
      <c r="E1" s="876"/>
      <c r="F1" s="876"/>
      <c r="G1" s="876"/>
      <c r="H1" s="876"/>
      <c r="I1" s="876"/>
    </row>
    <row r="2" spans="2:10" ht="19.5" customHeight="1">
      <c r="B2" s="372" t="s">
        <v>244</v>
      </c>
      <c r="C2" s="373" t="s">
        <v>245</v>
      </c>
      <c r="D2" s="374" t="s">
        <v>246</v>
      </c>
      <c r="E2" s="373" t="s">
        <v>247</v>
      </c>
      <c r="F2" s="374" t="s">
        <v>248</v>
      </c>
      <c r="G2" s="373" t="s">
        <v>249</v>
      </c>
      <c r="H2" s="373" t="s">
        <v>48</v>
      </c>
      <c r="I2" s="374" t="s">
        <v>250</v>
      </c>
    </row>
    <row r="3" spans="2:10" s="371" customFormat="1" ht="18" customHeight="1">
      <c r="B3" s="375" t="str">
        <f>IF(ISBLANK(DCF!B11),"",DCF!B11&amp;" ("&amp;YEAR($J$3)+DCF!C11&amp;")")</f>
        <v/>
      </c>
      <c r="C3" s="376">
        <f>DCF!A11</f>
        <v>0</v>
      </c>
      <c r="D3" s="377">
        <v>7.0000000000000007E-2</v>
      </c>
      <c r="E3" s="378">
        <f>FV(D3,DCF!C11,,-FinPlan!C3)</f>
        <v>0</v>
      </c>
      <c r="F3" s="379">
        <v>0.12</v>
      </c>
      <c r="G3" s="378">
        <f>-PV(F3,DCF!C11,,E3,1)</f>
        <v>0</v>
      </c>
      <c r="H3" s="378">
        <f>IF(ISERROR(-PMT((1+F3)^(1/12)-1,DCF!C11*12,,E3,1)),0,-PMT((1+F3)^(1/12)-1,DCF!C11*12,,E3,1))</f>
        <v>0</v>
      </c>
      <c r="I3" s="397" t="s">
        <v>251</v>
      </c>
      <c r="J3" s="398">
        <f ca="1">IF(ISBLANK(DCF!F2),TODAY(),DCF!F2)</f>
        <v>44340</v>
      </c>
    </row>
    <row r="4" spans="2:10" s="371" customFormat="1" ht="18" customHeight="1">
      <c r="B4" s="375" t="str">
        <f>IF(ISBLANK(DCF!B12),"",DCF!B12&amp;" ("&amp;YEAR($J$3)+DCF!C12&amp;")")</f>
        <v/>
      </c>
      <c r="C4" s="376">
        <f>DCF!A12</f>
        <v>0</v>
      </c>
      <c r="D4" s="377">
        <v>7.0000000000000007E-2</v>
      </c>
      <c r="E4" s="378">
        <f>FV(D4,DCF!C12,,-FinPlan!C4)</f>
        <v>0</v>
      </c>
      <c r="F4" s="379">
        <v>0.12</v>
      </c>
      <c r="G4" s="378">
        <f>-PV(F4,DCF!C12,,E4,1)</f>
        <v>0</v>
      </c>
      <c r="H4" s="378">
        <f>IF(ISERROR(-PMT((1+F4)^(1/12)-1,DCF!C12*12,,E4,1)),0,-PMT((1+F4)^(1/12)-1,DCF!C12*12,,E4,1))</f>
        <v>0</v>
      </c>
      <c r="I4" s="397" t="s">
        <v>251</v>
      </c>
      <c r="J4" s="399">
        <f>(1+D18)/(1+B18)-1</f>
        <v>2.8037383177570208E-2</v>
      </c>
    </row>
    <row r="5" spans="2:10" s="371" customFormat="1" ht="18" customHeight="1">
      <c r="B5" s="375" t="str">
        <f>IF(ISBLANK(DCF!B13),"",DCF!B13&amp;" ("&amp;YEAR($J$3)+DCF!C13&amp;")")</f>
        <v/>
      </c>
      <c r="C5" s="376">
        <f>DCF!A13</f>
        <v>0</v>
      </c>
      <c r="D5" s="377">
        <v>7.0000000000000007E-2</v>
      </c>
      <c r="E5" s="378">
        <f>FV(D5,DCF!C13,,-FinPlan!C5)</f>
        <v>0</v>
      </c>
      <c r="F5" s="379">
        <v>0.12</v>
      </c>
      <c r="G5" s="378">
        <f>-PV(F5,DCF!C13,,E5,1)</f>
        <v>0</v>
      </c>
      <c r="H5" s="378">
        <f>IF(ISERROR(-PMT((1+F5)^(1/12)-1,DCF!C13*12,,E5,1)),0,-PMT((1+F5)^(1/12)-1,DCF!C13*12,,E5,1))</f>
        <v>0</v>
      </c>
      <c r="I5" s="397" t="s">
        <v>251</v>
      </c>
      <c r="J5" s="371">
        <f>DCF!F23</f>
        <v>0</v>
      </c>
    </row>
    <row r="6" spans="2:10" s="371" customFormat="1" ht="18" customHeight="1">
      <c r="B6" s="375" t="str">
        <f>IF(ISBLANK(DCF!B14),"",DCF!B14&amp;" ("&amp;YEAR($J$3)+DCF!C14&amp;")")</f>
        <v/>
      </c>
      <c r="C6" s="376">
        <f>DCF!A14</f>
        <v>0</v>
      </c>
      <c r="D6" s="377">
        <v>7.0000000000000007E-2</v>
      </c>
      <c r="E6" s="378">
        <f>FV(D6,DCF!C14,,-FinPlan!C6)</f>
        <v>0</v>
      </c>
      <c r="F6" s="379">
        <v>0.12</v>
      </c>
      <c r="G6" s="378">
        <f>-PV(F6,DCF!C14,,E6,1)</f>
        <v>0</v>
      </c>
      <c r="H6" s="378">
        <f>IF(ISERROR(-PMT((1+F6)^(1/12)-1,DCF!C14*12,,E6,1)),0,-PMT((1+F6)^(1/12)-1,DCF!C14*12,,E6,1))</f>
        <v>0</v>
      </c>
      <c r="I6" s="397" t="s">
        <v>251</v>
      </c>
      <c r="J6" s="400">
        <f>SUMIF(I3:I13,"Yes",G3:G13)</f>
        <v>0</v>
      </c>
    </row>
    <row r="7" spans="2:10" s="371" customFormat="1" ht="18" customHeight="1">
      <c r="B7" s="375" t="str">
        <f>IF(ISBLANK(DCF!B15),"",DCF!B15&amp;" ("&amp;YEAR($J$3)+DCF!C15&amp;")")</f>
        <v/>
      </c>
      <c r="C7" s="376">
        <f>DCF!A15</f>
        <v>0</v>
      </c>
      <c r="D7" s="377">
        <v>7.0000000000000007E-2</v>
      </c>
      <c r="E7" s="378">
        <f>FV(D7,DCF!C15,,-FinPlan!C7)</f>
        <v>0</v>
      </c>
      <c r="F7" s="379">
        <v>0.12</v>
      </c>
      <c r="G7" s="378">
        <f>-PV(F7,DCF!C15,,E7,1)</f>
        <v>0</v>
      </c>
      <c r="H7" s="378">
        <f>IF(ISERROR(-PMT((1+F7)^(1/12)-1,DCF!C15*12,,E7,1)),0,-PMT((1+F7)^(1/12)-1,DCF!C15*12,,E7,1))</f>
        <v>0</v>
      </c>
      <c r="I7" s="397" t="s">
        <v>251</v>
      </c>
      <c r="J7" s="399">
        <f>(1+I22)/(1+B18)-1</f>
        <v>2.8037383177570208E-2</v>
      </c>
    </row>
    <row r="8" spans="2:10" s="371" customFormat="1" ht="18" customHeight="1">
      <c r="B8" s="375" t="str">
        <f>IF(ISBLANK(DCF!B16),"",DCF!B16&amp;" ("&amp;YEAR($J$3)+DCF!C16&amp;")")</f>
        <v/>
      </c>
      <c r="C8" s="376">
        <f>DCF!A16</f>
        <v>0</v>
      </c>
      <c r="D8" s="377">
        <v>7.0000000000000007E-2</v>
      </c>
      <c r="E8" s="378">
        <f>FV(D8,DCF!C16,,-FinPlan!C8)</f>
        <v>0</v>
      </c>
      <c r="F8" s="379">
        <v>0.12</v>
      </c>
      <c r="G8" s="378">
        <f>-PV(F8,DCF!C16,,E8,1)</f>
        <v>0</v>
      </c>
      <c r="H8" s="378">
        <f>IF(ISERROR(-PMT((1+F8)^(1/12)-1,DCF!C16*12,,E8,1)),0,-PMT((1+F8)^(1/12)-1,DCF!C16*12,,E8,1))</f>
        <v>0</v>
      </c>
      <c r="I8" s="397" t="s">
        <v>251</v>
      </c>
      <c r="J8" s="371">
        <f>C22-DCF!C5</f>
        <v>85</v>
      </c>
    </row>
    <row r="9" spans="2:10" s="371" customFormat="1" ht="18" customHeight="1">
      <c r="B9" s="375" t="str">
        <f>IF(ISBLANK(DCF!B17),"",DCF!B17&amp;" ("&amp;YEAR($J$3)+DCF!C17&amp;")")</f>
        <v/>
      </c>
      <c r="C9" s="376">
        <f>DCF!A17</f>
        <v>0</v>
      </c>
      <c r="D9" s="377">
        <v>7.0000000000000007E-2</v>
      </c>
      <c r="E9" s="378">
        <f>FV(D9,DCF!C17,,-FinPlan!C9)</f>
        <v>0</v>
      </c>
      <c r="F9" s="379">
        <v>0.12</v>
      </c>
      <c r="G9" s="378">
        <f>-PV(F9,DCF!C17,,E9,1)</f>
        <v>0</v>
      </c>
      <c r="H9" s="378">
        <f>IF(ISERROR(-PMT((1+F9)^(1/12)-1,DCF!C17*12,,E9,1)),0,-PMT((1+F9)^(1/12)-1,DCF!C17*12,,E9,1))</f>
        <v>0</v>
      </c>
      <c r="I9" s="397"/>
      <c r="J9" s="401">
        <f>E18</f>
        <v>0</v>
      </c>
    </row>
    <row r="10" spans="2:10" s="371" customFormat="1" ht="18" customHeight="1">
      <c r="B10" s="375" t="str">
        <f>IF(ISBLANK(DCF!B18),"",DCF!B18&amp;" ("&amp;YEAR($J$3)+DCF!C18&amp;")")</f>
        <v/>
      </c>
      <c r="C10" s="376">
        <f>DCF!A18</f>
        <v>0</v>
      </c>
      <c r="D10" s="377">
        <v>7.0000000000000007E-2</v>
      </c>
      <c r="E10" s="378">
        <f>FV(D10,DCF!C18,,-FinPlan!C10)</f>
        <v>0</v>
      </c>
      <c r="F10" s="379">
        <v>0.12</v>
      </c>
      <c r="G10" s="378">
        <f>-PV(F10,DCF!C18,,E10,1)</f>
        <v>0</v>
      </c>
      <c r="H10" s="378">
        <f>IF(ISERROR(-PMT((1+F10)^(1/12)-1,DCF!C18*12,,E10,1)),0,-PMT((1+F10)^(1/12)-1,DCF!C18*12,,E10,1))</f>
        <v>0</v>
      </c>
      <c r="I10" s="397"/>
      <c r="J10" s="371">
        <f>J9*(1-F22)</f>
        <v>0</v>
      </c>
    </row>
    <row r="11" spans="2:10" s="371" customFormat="1" ht="18" customHeight="1">
      <c r="B11" s="375" t="str">
        <f>IF(ISBLANK(DCF!B19),"",DCF!B19&amp;" ("&amp;YEAR($J$3)+DCF!C19&amp;")")</f>
        <v/>
      </c>
      <c r="C11" s="376">
        <f>DCF!A19</f>
        <v>0</v>
      </c>
      <c r="D11" s="377">
        <v>7.0000000000000007E-2</v>
      </c>
      <c r="E11" s="378">
        <f>FV(D11,DCF!C19,,-FinPlan!C11)</f>
        <v>0</v>
      </c>
      <c r="F11" s="379">
        <v>0.12</v>
      </c>
      <c r="G11" s="378">
        <f>-PV(F11,DCF!C19,,E11,1)</f>
        <v>0</v>
      </c>
      <c r="H11" s="378">
        <f>IF(ISERROR(-PMT((1+F11)^(1/12)-1,DCF!C19*12,,E11,1)),0,-PMT((1+F11)^(1/12)-1,DCF!C19*12,,E11,1))</f>
        <v>0</v>
      </c>
      <c r="I11" s="397"/>
    </row>
    <row r="12" spans="2:10" s="371" customFormat="1" ht="18" customHeight="1">
      <c r="B12" s="375" t="str">
        <f>IF(ISBLANK(DCF!B20),"",DCF!B20&amp;" ("&amp;YEAR($J$3)+DCF!C20&amp;")")</f>
        <v/>
      </c>
      <c r="C12" s="376">
        <f>DCF!A20</f>
        <v>0</v>
      </c>
      <c r="D12" s="377">
        <v>7.0000000000000007E-2</v>
      </c>
      <c r="E12" s="378">
        <f>FV(D12,DCF!C20,,-FinPlan!C12)</f>
        <v>0</v>
      </c>
      <c r="F12" s="379">
        <v>0.12</v>
      </c>
      <c r="G12" s="378">
        <f>-PV(F12,DCF!C20,,E12,1)</f>
        <v>0</v>
      </c>
      <c r="H12" s="378">
        <f>IF(ISERROR(-PMT((1+F12)^(1/12)-1,DCF!C20*12,,E12,1)),0,-PMT((1+F12)^(1/12)-1,DCF!C20*12,,E12,1))</f>
        <v>0</v>
      </c>
      <c r="I12" s="397"/>
    </row>
    <row r="13" spans="2:10" s="371" customFormat="1" ht="18" customHeight="1">
      <c r="B13" s="375" t="str">
        <f>IF(ISBLANK(DCF!B21),"",DCF!B21&amp;" ("&amp;YEAR($J$3)+DCF!C21&amp;")")</f>
        <v/>
      </c>
      <c r="C13" s="376">
        <f>DCF!A21</f>
        <v>0</v>
      </c>
      <c r="D13" s="377">
        <v>7.0000000000000007E-2</v>
      </c>
      <c r="E13" s="378">
        <f>FV(D13,DCF!C21,,-FinPlan!C13)</f>
        <v>0</v>
      </c>
      <c r="F13" s="379">
        <v>0.12</v>
      </c>
      <c r="G13" s="378">
        <f>-PV(F13,DCF!C21,,E13,1)</f>
        <v>0</v>
      </c>
      <c r="H13" s="378">
        <f>IF(ISERROR(-PMT((1+F13)^(1/12)-1,DCF!C21*12,,E13,1)),0,-PMT((1+F13)^(1/12)-1,DCF!C21*12,,E13,1))</f>
        <v>0</v>
      </c>
      <c r="I13" s="397"/>
    </row>
    <row r="14" spans="2:10" s="371" customFormat="1" ht="10.5" customHeight="1">
      <c r="D14" s="380"/>
      <c r="E14" s="381"/>
      <c r="F14" s="382"/>
      <c r="G14" s="381"/>
      <c r="H14" s="381"/>
    </row>
    <row r="15" spans="2:10" s="371" customFormat="1" ht="18" customHeight="1">
      <c r="B15" s="383" t="str">
        <f ca="1">"RETIREMENT ("&amp;YEAR(J3)+(DCF!C24-DCF!C4)&amp;"):"</f>
        <v>RETIREMENT (2021):</v>
      </c>
    </row>
    <row r="16" spans="2:10" s="371" customFormat="1" ht="18" customHeight="1">
      <c r="B16" s="867" t="s">
        <v>252</v>
      </c>
      <c r="C16" s="877" t="s">
        <v>253</v>
      </c>
      <c r="D16" s="878"/>
      <c r="E16" s="869" t="s">
        <v>254</v>
      </c>
      <c r="F16" s="870"/>
      <c r="G16" s="869" t="s">
        <v>255</v>
      </c>
      <c r="H16" s="871"/>
    </row>
    <row r="17" spans="2:9" s="371" customFormat="1" ht="18" customHeight="1">
      <c r="B17" s="868"/>
      <c r="C17" s="384" t="s">
        <v>256</v>
      </c>
      <c r="D17" s="385" t="s">
        <v>257</v>
      </c>
      <c r="E17" s="870"/>
      <c r="F17" s="870"/>
      <c r="G17" s="870"/>
      <c r="H17" s="871"/>
    </row>
    <row r="18" spans="2:9" s="371" customFormat="1" ht="18" customHeight="1">
      <c r="B18" s="377">
        <v>7.0000000000000007E-2</v>
      </c>
      <c r="C18" s="379">
        <v>0.12</v>
      </c>
      <c r="D18" s="379">
        <v>0.1</v>
      </c>
      <c r="E18" s="879">
        <f>DCF!F11+DCF!F12</f>
        <v>0</v>
      </c>
      <c r="F18" s="879"/>
      <c r="G18" s="879">
        <f>FV(B18,DCF!C24-DCF!C4,,-FinPlan!E18)</f>
        <v>0</v>
      </c>
      <c r="H18" s="879"/>
    </row>
    <row r="19" spans="2:9" s="371" customFormat="1" ht="18" customHeight="1">
      <c r="B19" s="386" t="s">
        <v>258</v>
      </c>
      <c r="C19" s="376">
        <f>PV(J4,DCF!C25-DCF!C24,-FinPlan!G18*12,,1)</f>
        <v>0</v>
      </c>
      <c r="D19" s="387" t="s">
        <v>259</v>
      </c>
      <c r="E19" s="376">
        <f>-PV(C18,DCF!C24-DCF!C4,,FinPlan!C19,)</f>
        <v>0</v>
      </c>
      <c r="F19" s="387" t="s">
        <v>260</v>
      </c>
      <c r="G19" s="880">
        <f>IFERROR(-PMT((1+C18)^(1/12)-1,(DCF!C24-DCF!C4)*12,,FinPlan!C19,1),0)</f>
        <v>0</v>
      </c>
      <c r="H19" s="881"/>
    </row>
    <row r="20" spans="2:9" s="371" customFormat="1" ht="18" customHeight="1">
      <c r="C20" s="872" t="s">
        <v>261</v>
      </c>
      <c r="D20" s="872"/>
      <c r="E20" s="388">
        <f>SUM(DCF!F4:F8)-SUM(DCF!F11:F17)</f>
        <v>0</v>
      </c>
      <c r="F20" s="872" t="s">
        <v>262</v>
      </c>
      <c r="G20" s="872"/>
      <c r="H20" s="388">
        <f>G19+SUM(H3:H13)</f>
        <v>0</v>
      </c>
    </row>
    <row r="21" spans="2:9" s="371" customFormat="1" ht="18" customHeight="1">
      <c r="B21" s="383" t="s">
        <v>263</v>
      </c>
    </row>
    <row r="22" spans="2:9" s="371" customFormat="1" ht="18" customHeight="1">
      <c r="B22" s="389" t="s">
        <v>264</v>
      </c>
      <c r="C22" s="390">
        <v>85</v>
      </c>
      <c r="D22" s="873" t="s">
        <v>265</v>
      </c>
      <c r="E22" s="873"/>
      <c r="F22" s="391">
        <v>0.2</v>
      </c>
      <c r="G22" s="873" t="s">
        <v>266</v>
      </c>
      <c r="H22" s="873"/>
      <c r="I22" s="402">
        <v>0.1</v>
      </c>
    </row>
    <row r="23" spans="2:9" s="371" customFormat="1" ht="18" customHeight="1">
      <c r="B23" s="392" t="s">
        <v>267</v>
      </c>
      <c r="C23" s="376">
        <f>-PV(J4,J8,J10*12,,1)</f>
        <v>0</v>
      </c>
      <c r="D23" s="874" t="s">
        <v>268</v>
      </c>
      <c r="E23" s="874"/>
      <c r="F23" s="393"/>
      <c r="G23" s="875" t="s">
        <v>269</v>
      </c>
      <c r="H23" s="875"/>
      <c r="I23" s="376">
        <f>C23-F23-DCF!F24-DCF!F25</f>
        <v>0</v>
      </c>
    </row>
    <row r="24" spans="2:9" s="371" customFormat="1" ht="8.1" customHeight="1"/>
    <row r="25" spans="2:9" s="371" customFormat="1" ht="18" customHeight="1">
      <c r="B25" s="383" t="s">
        <v>270</v>
      </c>
    </row>
    <row r="26" spans="2:9" s="371" customFormat="1" ht="18" customHeight="1">
      <c r="B26" s="394" t="s">
        <v>271</v>
      </c>
      <c r="C26" s="393">
        <v>1000000</v>
      </c>
      <c r="D26" s="865" t="s">
        <v>272</v>
      </c>
      <c r="E26" s="865"/>
      <c r="F26" s="376">
        <f>DCF!F21+DCF!F22</f>
        <v>0</v>
      </c>
      <c r="G26" s="865" t="s">
        <v>269</v>
      </c>
      <c r="H26" s="865"/>
      <c r="I26" s="376">
        <f>C26-F26</f>
        <v>1000000</v>
      </c>
    </row>
    <row r="27" spans="2:9" s="371" customFormat="1" ht="8.1" customHeight="1"/>
    <row r="28" spans="2:9" s="371" customFormat="1" ht="18" customHeight="1">
      <c r="B28" s="395" t="s">
        <v>273</v>
      </c>
    </row>
    <row r="29" spans="2:9" s="371" customFormat="1" ht="18" customHeight="1">
      <c r="B29" s="396" t="s">
        <v>274</v>
      </c>
      <c r="C29" s="376">
        <f>SUM(DCF!F11:F17)</f>
        <v>0</v>
      </c>
      <c r="D29" s="866" t="s">
        <v>275</v>
      </c>
      <c r="E29" s="866"/>
      <c r="F29" s="390">
        <v>3</v>
      </c>
      <c r="G29" s="865" t="s">
        <v>276</v>
      </c>
      <c r="H29" s="865"/>
      <c r="I29" s="376">
        <f>(C29*F29)-DCF!F20</f>
        <v>0</v>
      </c>
    </row>
  </sheetData>
  <sheetProtection password="F3D2" sheet="1" objects="1"/>
  <mergeCells count="18">
    <mergeCell ref="B1:I1"/>
    <mergeCell ref="C16:D16"/>
    <mergeCell ref="E18:F18"/>
    <mergeCell ref="G18:H18"/>
    <mergeCell ref="G19:H19"/>
    <mergeCell ref="D26:E26"/>
    <mergeCell ref="G26:H26"/>
    <mergeCell ref="D29:E29"/>
    <mergeCell ref="G29:H29"/>
    <mergeCell ref="B16:B17"/>
    <mergeCell ref="E16:F17"/>
    <mergeCell ref="G16:H17"/>
    <mergeCell ref="C20:D20"/>
    <mergeCell ref="F20:G20"/>
    <mergeCell ref="D22:E22"/>
    <mergeCell ref="G22:H22"/>
    <mergeCell ref="D23:E23"/>
    <mergeCell ref="G23:H23"/>
  </mergeCells>
  <dataValidations count="1">
    <dataValidation type="list" allowBlank="1" showInputMessage="1" showErrorMessage="1" sqref="I3:I13" xr:uid="{00000000-0002-0000-0B00-000000000000}">
      <formula1>"Yes,No"</formula1>
    </dataValidation>
  </dataValidations>
  <pageMargins left="0.7" right="0.7" top="0.75" bottom="0.75" header="0.3" footer="0.3"/>
  <pageSetup orientation="landscape"/>
  <colBreaks count="1" manualBreakCount="1">
    <brk id="9" max="1048575" man="1"/>
  </colBreaks>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P17"/>
  <sheetViews>
    <sheetView showGridLines="0" workbookViewId="0">
      <selection activeCell="F4" sqref="F4"/>
    </sheetView>
  </sheetViews>
  <sheetFormatPr defaultColWidth="0" defaultRowHeight="13.2" zeroHeight="1"/>
  <cols>
    <col min="1" max="1" width="4.21875" customWidth="1"/>
    <col min="2" max="5" width="8.6640625" customWidth="1"/>
    <col min="6" max="6" width="15.5546875" customWidth="1"/>
    <col min="7" max="11" width="8.6640625" customWidth="1"/>
    <col min="12" max="12" width="15.5546875" customWidth="1"/>
    <col min="13" max="16" width="8.6640625" customWidth="1"/>
    <col min="17" max="16384" width="8.6640625" hidden="1"/>
  </cols>
  <sheetData>
    <row r="1" spans="2:12" ht="22.5" customHeight="1">
      <c r="B1" s="882" t="s">
        <v>277</v>
      </c>
      <c r="C1" s="882"/>
      <c r="D1" s="882"/>
      <c r="E1" s="882"/>
      <c r="F1" s="882"/>
      <c r="G1" s="882"/>
      <c r="H1" s="882"/>
      <c r="I1" s="882"/>
      <c r="J1" s="882"/>
      <c r="K1" s="882"/>
      <c r="L1" s="882"/>
    </row>
    <row r="2" spans="2:12" ht="16.05" customHeight="1">
      <c r="B2" s="883" t="s">
        <v>278</v>
      </c>
      <c r="C2" s="884"/>
      <c r="D2" s="884"/>
      <c r="E2" s="884"/>
      <c r="F2" s="885"/>
      <c r="H2" s="886" t="s">
        <v>279</v>
      </c>
      <c r="I2" s="887"/>
      <c r="J2" s="887"/>
      <c r="K2" s="887"/>
      <c r="L2" s="888"/>
    </row>
    <row r="3" spans="2:12" ht="16.05" customHeight="1">
      <c r="B3" s="351"/>
      <c r="F3" s="352"/>
      <c r="H3" s="351"/>
      <c r="L3" s="352"/>
    </row>
    <row r="4" spans="2:12" ht="16.05" customHeight="1">
      <c r="B4" s="353" t="s">
        <v>280</v>
      </c>
      <c r="C4" s="354"/>
      <c r="D4" s="354"/>
      <c r="E4" s="355"/>
      <c r="F4" s="356"/>
      <c r="H4" s="353" t="s">
        <v>281</v>
      </c>
      <c r="I4" s="354"/>
      <c r="J4" s="354"/>
      <c r="K4" s="355"/>
      <c r="L4" s="356"/>
    </row>
    <row r="5" spans="2:12" ht="16.05" customHeight="1">
      <c r="B5" s="353" t="s">
        <v>15</v>
      </c>
      <c r="C5" s="354"/>
      <c r="D5" s="354"/>
      <c r="E5" s="355"/>
      <c r="F5" s="357"/>
      <c r="H5" s="353" t="s">
        <v>15</v>
      </c>
      <c r="I5" s="354"/>
      <c r="J5" s="354"/>
      <c r="K5" s="355"/>
      <c r="L5" s="357"/>
    </row>
    <row r="6" spans="2:12" ht="16.05" customHeight="1">
      <c r="B6" s="353" t="s">
        <v>282</v>
      </c>
      <c r="C6" s="354"/>
      <c r="D6" s="354"/>
      <c r="E6" s="355"/>
      <c r="F6" s="358"/>
      <c r="H6" s="353" t="s">
        <v>282</v>
      </c>
      <c r="I6" s="354"/>
      <c r="J6" s="354"/>
      <c r="K6" s="355"/>
      <c r="L6" s="358"/>
    </row>
    <row r="7" spans="2:12" ht="16.05" customHeight="1">
      <c r="B7" s="351"/>
      <c r="F7" s="352"/>
      <c r="H7" s="351"/>
      <c r="L7" s="352"/>
    </row>
    <row r="8" spans="2:12" ht="16.05" customHeight="1">
      <c r="B8" s="370" t="s">
        <v>283</v>
      </c>
      <c r="C8" s="360"/>
      <c r="D8" s="360"/>
      <c r="E8" s="361"/>
      <c r="F8" s="362">
        <f>FV(F6,F5,,-F4)</f>
        <v>0</v>
      </c>
      <c r="H8" s="370" t="s">
        <v>284</v>
      </c>
      <c r="I8" s="360"/>
      <c r="J8" s="360"/>
      <c r="K8" s="361"/>
      <c r="L8" s="362">
        <f>-PV(L6,L5,,L4)</f>
        <v>0</v>
      </c>
    </row>
    <row r="9" spans="2:12" ht="16.05" customHeight="1"/>
    <row r="10" spans="2:12" ht="16.05" customHeight="1">
      <c r="B10" s="883" t="s">
        <v>285</v>
      </c>
      <c r="C10" s="884"/>
      <c r="D10" s="884"/>
      <c r="E10" s="884"/>
      <c r="F10" s="885"/>
      <c r="H10" s="883" t="s">
        <v>286</v>
      </c>
      <c r="I10" s="884"/>
      <c r="J10" s="884"/>
      <c r="K10" s="884"/>
      <c r="L10" s="885"/>
    </row>
    <row r="11" spans="2:12" ht="16.05" customHeight="1">
      <c r="B11" s="351"/>
      <c r="F11" s="352"/>
      <c r="H11" s="351"/>
      <c r="L11" s="352"/>
    </row>
    <row r="12" spans="2:12" ht="16.05" customHeight="1">
      <c r="B12" s="353" t="s">
        <v>280</v>
      </c>
      <c r="C12" s="354"/>
      <c r="D12" s="354"/>
      <c r="E12" s="355"/>
      <c r="F12" s="356"/>
      <c r="H12" s="353" t="s">
        <v>280</v>
      </c>
      <c r="I12" s="354"/>
      <c r="J12" s="354"/>
      <c r="K12" s="355"/>
      <c r="L12" s="356"/>
    </row>
    <row r="13" spans="2:12" ht="16.05" customHeight="1">
      <c r="B13" s="353" t="s">
        <v>281</v>
      </c>
      <c r="C13" s="354"/>
      <c r="D13" s="354"/>
      <c r="E13" s="355"/>
      <c r="F13" s="356"/>
      <c r="H13" s="353" t="s">
        <v>281</v>
      </c>
      <c r="I13" s="354"/>
      <c r="J13" s="354"/>
      <c r="K13" s="355"/>
      <c r="L13" s="356"/>
    </row>
    <row r="14" spans="2:12" ht="16.05" customHeight="1">
      <c r="B14" s="353" t="s">
        <v>282</v>
      </c>
      <c r="C14" s="354"/>
      <c r="D14" s="354"/>
      <c r="E14" s="355"/>
      <c r="F14" s="358"/>
      <c r="H14" s="353" t="s">
        <v>15</v>
      </c>
      <c r="I14" s="354"/>
      <c r="J14" s="354"/>
      <c r="K14" s="355"/>
      <c r="L14" s="357"/>
    </row>
    <row r="15" spans="2:12" ht="16.05" customHeight="1">
      <c r="B15" s="351"/>
      <c r="F15" s="352"/>
      <c r="H15" s="351"/>
      <c r="L15" s="352"/>
    </row>
    <row r="16" spans="2:12" ht="16.05" customHeight="1">
      <c r="B16" s="370" t="s">
        <v>287</v>
      </c>
      <c r="C16" s="360"/>
      <c r="D16" s="360"/>
      <c r="E16" s="361"/>
      <c r="F16" s="363">
        <f>IFERROR(NPER(F14,,-F12,F13),0)</f>
        <v>0</v>
      </c>
      <c r="H16" s="370" t="s">
        <v>288</v>
      </c>
      <c r="I16" s="360"/>
      <c r="J16" s="360"/>
      <c r="K16" s="361"/>
      <c r="L16" s="365">
        <f>IFERROR(RATE(L14,,-L12,L13),0)</f>
        <v>0</v>
      </c>
    </row>
    <row r="17" spans="2:2">
      <c r="B17" s="364"/>
    </row>
  </sheetData>
  <sheetProtection algorithmName="SHA-512" hashValue="AnEJNg14vs2yNqv8W05saj3MDDURxMPlit3IP1brq6qH23Z4zTcBdTJf6p1rvUmRBgnmp4wycGj8sqPSfl3vag==" saltValue="L/yaFpJ/ovOZeVoBEFzfLg==" spinCount="100000" sheet="1" objects="1"/>
  <mergeCells count="5">
    <mergeCell ref="B1:L1"/>
    <mergeCell ref="B2:F2"/>
    <mergeCell ref="H2:L2"/>
    <mergeCell ref="B10:F10"/>
    <mergeCell ref="H10:L10"/>
  </mergeCells>
  <pageMargins left="0.7" right="0.7" top="0.75" bottom="0.75" header="0.3" footer="0.3"/>
  <pageSetup paperSize="9" orientation="landscape"/>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U17"/>
  <sheetViews>
    <sheetView showGridLines="0" workbookViewId="0">
      <selection activeCell="F4" sqref="F4"/>
    </sheetView>
  </sheetViews>
  <sheetFormatPr defaultColWidth="0" defaultRowHeight="13.2" zeroHeight="1"/>
  <cols>
    <col min="1" max="1" width="4.21875" customWidth="1"/>
    <col min="2" max="5" width="8.6640625" customWidth="1"/>
    <col min="6" max="6" width="15.5546875" customWidth="1"/>
    <col min="7" max="11" width="8.6640625" customWidth="1"/>
    <col min="12" max="12" width="15.5546875" customWidth="1"/>
    <col min="13" max="16" width="8.6640625" customWidth="1"/>
    <col min="17" max="17" width="12.77734375" hidden="1" customWidth="1"/>
    <col min="18" max="18" width="14.33203125" hidden="1" customWidth="1"/>
    <col min="19" max="19" width="8.6640625" hidden="1" customWidth="1"/>
    <col min="20" max="20" width="11.6640625" hidden="1" customWidth="1"/>
    <col min="21" max="16384" width="8.6640625" hidden="1"/>
  </cols>
  <sheetData>
    <row r="1" spans="2:21" ht="22.5" customHeight="1">
      <c r="B1" s="882" t="s">
        <v>289</v>
      </c>
      <c r="C1" s="882"/>
      <c r="D1" s="882"/>
      <c r="E1" s="882"/>
      <c r="F1" s="882"/>
      <c r="G1" s="882"/>
      <c r="H1" s="882"/>
      <c r="I1" s="882"/>
      <c r="J1" s="882"/>
      <c r="K1" s="882"/>
      <c r="L1" s="882"/>
    </row>
    <row r="2" spans="2:21" ht="16.05" customHeight="1">
      <c r="B2" s="883" t="s">
        <v>290</v>
      </c>
      <c r="C2" s="884"/>
      <c r="D2" s="884"/>
      <c r="E2" s="884"/>
      <c r="F2" s="885"/>
      <c r="H2" s="886" t="s">
        <v>291</v>
      </c>
      <c r="I2" s="884"/>
      <c r="J2" s="884"/>
      <c r="K2" s="884"/>
      <c r="L2" s="885"/>
      <c r="N2" s="891" t="s">
        <v>292</v>
      </c>
      <c r="O2" s="891"/>
    </row>
    <row r="3" spans="2:21" ht="16.05" customHeight="1">
      <c r="B3" s="351"/>
      <c r="F3" s="352"/>
      <c r="H3" s="351"/>
      <c r="L3" s="352"/>
      <c r="N3" s="892" t="s">
        <v>293</v>
      </c>
      <c r="O3" s="892"/>
      <c r="Q3" s="366" t="s">
        <v>293</v>
      </c>
      <c r="R3" s="367">
        <f>FV((1+F6)^(1/12)-1,F5*12,-F4,-N5,1)</f>
        <v>0</v>
      </c>
      <c r="S3" s="368" t="e">
        <f>NPER((1+F14)^(1/12)-1,-F12,-N5,F13,1)/12</f>
        <v>#DIV/0!</v>
      </c>
      <c r="T3" s="367" t="e">
        <f>-PMT((1+L6)^(1/12)-1,L5*12,-N5,L4,1)</f>
        <v>#NUM!</v>
      </c>
      <c r="U3" s="368" t="e">
        <f>(1+RATE(L14*12,-L12,-N5,L13,1))^12-1</f>
        <v>#NUM!</v>
      </c>
    </row>
    <row r="4" spans="2:21" ht="16.05" customHeight="1">
      <c r="B4" s="353" t="s">
        <v>294</v>
      </c>
      <c r="C4" s="354"/>
      <c r="D4" s="354"/>
      <c r="E4" s="355"/>
      <c r="F4" s="356"/>
      <c r="H4" s="353" t="s">
        <v>281</v>
      </c>
      <c r="I4" s="354"/>
      <c r="J4" s="354"/>
      <c r="K4" s="355"/>
      <c r="L4" s="356"/>
      <c r="N4" s="889" t="s">
        <v>295</v>
      </c>
      <c r="O4" s="889"/>
      <c r="Q4" s="366" t="s">
        <v>296</v>
      </c>
      <c r="R4" s="367">
        <f>FV((1+F6)^(1/4)-1,F5*12/3,-F4,-N5,1)</f>
        <v>0</v>
      </c>
      <c r="S4" s="368" t="e">
        <f>NPER((1+F14)^(1/4)-1,-F12,-N5,F13,1)/4</f>
        <v>#DIV/0!</v>
      </c>
      <c r="T4" s="367" t="e">
        <f>-PMT((1+L6)^(1/4)-1,L5*4,-N5,L4,1)</f>
        <v>#NUM!</v>
      </c>
      <c r="U4" s="368" t="e">
        <f>(1+RATE(L14*4,-L12,-N5,L13,1))^4-1</f>
        <v>#NUM!</v>
      </c>
    </row>
    <row r="5" spans="2:21" ht="16.05" customHeight="1">
      <c r="B5" s="353" t="s">
        <v>15</v>
      </c>
      <c r="C5" s="354"/>
      <c r="D5" s="354"/>
      <c r="E5" s="355"/>
      <c r="F5" s="357"/>
      <c r="H5" s="353" t="s">
        <v>15</v>
      </c>
      <c r="I5" s="354"/>
      <c r="J5" s="354"/>
      <c r="K5" s="355"/>
      <c r="L5" s="357"/>
      <c r="N5" s="890"/>
      <c r="O5" s="890"/>
      <c r="Q5" s="366" t="s">
        <v>297</v>
      </c>
      <c r="R5" s="367">
        <f>FV((1+F6)^(1/2)-1,F5*12/6,-F4,-N5,1)</f>
        <v>0</v>
      </c>
      <c r="S5" s="368" t="e">
        <f>NPER((1+F14)^(1/2)-1,-F12,-N5,F13,1)/2</f>
        <v>#DIV/0!</v>
      </c>
      <c r="T5" s="367" t="e">
        <f>-PMT((1+L6)^(1/2)-1,L5*2,-N5,L4,1)</f>
        <v>#NUM!</v>
      </c>
      <c r="U5" s="368" t="e">
        <f>(1+RATE(L14*2,-L12,-N5,L13,1))^2-1</f>
        <v>#NUM!</v>
      </c>
    </row>
    <row r="6" spans="2:21" ht="16.05" customHeight="1">
      <c r="B6" s="353" t="s">
        <v>282</v>
      </c>
      <c r="C6" s="354"/>
      <c r="D6" s="354"/>
      <c r="E6" s="355"/>
      <c r="F6" s="358"/>
      <c r="H6" s="353" t="s">
        <v>282</v>
      </c>
      <c r="I6" s="354"/>
      <c r="J6" s="354"/>
      <c r="K6" s="355"/>
      <c r="L6" s="358"/>
      <c r="Q6" s="366" t="s">
        <v>298</v>
      </c>
      <c r="R6" s="367">
        <f>FV((1+F6)^(1)-1,F5,-F4,-N5,1)</f>
        <v>0</v>
      </c>
      <c r="S6" s="368" t="e">
        <f>NPER((1+F14)^(1/1)-1,-F12,-N5,F13,1)/1</f>
        <v>#DIV/0!</v>
      </c>
      <c r="T6" s="367" t="e">
        <f>-PMT((1+L6)^(1/1)-1,L5*1,-N5,L4,1)</f>
        <v>#NUM!</v>
      </c>
      <c r="U6" s="368" t="e">
        <f>(1+RATE(L14*1,-L12,-N5,L13,1))^1-1</f>
        <v>#NUM!</v>
      </c>
    </row>
    <row r="7" spans="2:21" ht="16.05" customHeight="1">
      <c r="B7" s="351"/>
      <c r="F7" s="352"/>
      <c r="H7" s="351"/>
      <c r="L7" s="352"/>
    </row>
    <row r="8" spans="2:21" ht="16.05" customHeight="1">
      <c r="B8" s="359" t="s">
        <v>283</v>
      </c>
      <c r="C8" s="360"/>
      <c r="D8" s="360"/>
      <c r="E8" s="361"/>
      <c r="F8" s="362">
        <f>VLOOKUP(N3,Q3:R6,2,FALSE)</f>
        <v>0</v>
      </c>
      <c r="H8" s="359" t="s">
        <v>299</v>
      </c>
      <c r="I8" s="360"/>
      <c r="J8" s="360"/>
      <c r="K8" s="361"/>
      <c r="L8" s="362">
        <f>IFERROR(VLOOKUP(N3,Q3:T6,4,FALSE),0)</f>
        <v>0</v>
      </c>
      <c r="R8" s="369"/>
    </row>
    <row r="9" spans="2:21" ht="16.05" customHeight="1">
      <c r="R9" s="369"/>
    </row>
    <row r="10" spans="2:21" ht="16.05" customHeight="1">
      <c r="B10" s="883" t="s">
        <v>300</v>
      </c>
      <c r="C10" s="884"/>
      <c r="D10" s="884"/>
      <c r="E10" s="884"/>
      <c r="F10" s="885"/>
      <c r="H10" s="883" t="s">
        <v>286</v>
      </c>
      <c r="I10" s="884"/>
      <c r="J10" s="884"/>
      <c r="K10" s="884"/>
      <c r="L10" s="885"/>
      <c r="R10" s="369"/>
    </row>
    <row r="11" spans="2:21" ht="16.05" customHeight="1">
      <c r="B11" s="351"/>
      <c r="F11" s="352"/>
      <c r="H11" s="351"/>
      <c r="L11" s="352"/>
    </row>
    <row r="12" spans="2:21" ht="16.05" customHeight="1">
      <c r="B12" s="353" t="s">
        <v>294</v>
      </c>
      <c r="C12" s="354"/>
      <c r="D12" s="354"/>
      <c r="E12" s="355"/>
      <c r="F12" s="356"/>
      <c r="H12" s="353" t="s">
        <v>294</v>
      </c>
      <c r="I12" s="354"/>
      <c r="J12" s="354"/>
      <c r="K12" s="355"/>
      <c r="L12" s="356"/>
    </row>
    <row r="13" spans="2:21" ht="16.05" customHeight="1">
      <c r="B13" s="353" t="s">
        <v>281</v>
      </c>
      <c r="C13" s="354"/>
      <c r="D13" s="354"/>
      <c r="E13" s="355"/>
      <c r="F13" s="356"/>
      <c r="H13" s="353" t="s">
        <v>281</v>
      </c>
      <c r="I13" s="354"/>
      <c r="J13" s="354"/>
      <c r="K13" s="355"/>
      <c r="L13" s="356"/>
    </row>
    <row r="14" spans="2:21" ht="16.05" customHeight="1">
      <c r="B14" s="353" t="s">
        <v>282</v>
      </c>
      <c r="C14" s="354"/>
      <c r="D14" s="354"/>
      <c r="E14" s="355"/>
      <c r="F14" s="358"/>
      <c r="H14" s="353" t="s">
        <v>15</v>
      </c>
      <c r="I14" s="354"/>
      <c r="J14" s="354"/>
      <c r="K14" s="355"/>
      <c r="L14" s="357"/>
    </row>
    <row r="15" spans="2:21" ht="16.05" customHeight="1">
      <c r="B15" s="351"/>
      <c r="F15" s="352"/>
      <c r="H15" s="351"/>
      <c r="L15" s="352"/>
    </row>
    <row r="16" spans="2:21" ht="16.05" customHeight="1">
      <c r="B16" s="359" t="s">
        <v>287</v>
      </c>
      <c r="C16" s="360"/>
      <c r="D16" s="360"/>
      <c r="E16" s="361"/>
      <c r="F16" s="363">
        <f>IFERROR(VLOOKUP(N3,Q3:S6,3,FALSE),0)</f>
        <v>0</v>
      </c>
      <c r="H16" s="359" t="s">
        <v>288</v>
      </c>
      <c r="I16" s="360"/>
      <c r="J16" s="360"/>
      <c r="K16" s="361"/>
      <c r="L16" s="365">
        <f>IFERROR(VLOOKUP(N3,Q3:U6,5,FALSE),0)</f>
        <v>0</v>
      </c>
    </row>
    <row r="17" spans="2:2">
      <c r="B17" s="364"/>
    </row>
  </sheetData>
  <sheetProtection algorithmName="SHA-512" hashValue="t7EnQmDZHIhWSULbjNYD29iz3yDirClqI7kHgh4BK7VCMbxiHK+LVJcjoZND3TlKRXCdQ6Lp/UBjpxW3bpCODA==" saltValue="4RPx5s6DR76Lziiid3b1xA==" spinCount="100000" sheet="1" objects="1"/>
  <mergeCells count="9">
    <mergeCell ref="N4:O4"/>
    <mergeCell ref="N5:O5"/>
    <mergeCell ref="B10:F10"/>
    <mergeCell ref="H10:L10"/>
    <mergeCell ref="B1:L1"/>
    <mergeCell ref="B2:F2"/>
    <mergeCell ref="H2:L2"/>
    <mergeCell ref="N2:O2"/>
    <mergeCell ref="N3:O3"/>
  </mergeCells>
  <dataValidations count="1">
    <dataValidation type="list" allowBlank="1" showInputMessage="1" showErrorMessage="1" sqref="N3:O3" xr:uid="{00000000-0002-0000-0D00-000000000000}">
      <formula1>"Monthly, Quarterly, Bi-Yearly, Yearly"</formula1>
    </dataValidation>
  </dataValidations>
  <pageMargins left="0.7" right="0.7" top="0.75" bottom="0.75" header="0.3" footer="0.3"/>
  <pageSetup paperSize="9" scale="96" orientation="landscape"/>
  <colBreaks count="1" manualBreakCount="1">
    <brk id="15" max="1048575" man="1"/>
  </colBreaks>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O49"/>
  <sheetViews>
    <sheetView showGridLines="0" workbookViewId="0"/>
  </sheetViews>
  <sheetFormatPr defaultColWidth="0" defaultRowHeight="14.4" zeroHeight="1"/>
  <cols>
    <col min="1" max="1" width="2.109375" style="158" customWidth="1"/>
    <col min="2" max="2" width="15" style="158" customWidth="1"/>
    <col min="3" max="3" width="14.109375" style="158" customWidth="1"/>
    <col min="4" max="4" width="1.88671875" style="158" customWidth="1"/>
    <col min="5" max="5" width="36.77734375" style="158" customWidth="1"/>
    <col min="6" max="6" width="15.21875" style="158" customWidth="1"/>
    <col min="7" max="7" width="16.77734375" style="158" customWidth="1"/>
    <col min="8" max="10" width="8.6640625" style="158" customWidth="1"/>
    <col min="11" max="13" width="8.6640625" style="158" hidden="1" customWidth="1"/>
    <col min="14" max="14" width="8.6640625" style="159" hidden="1" customWidth="1"/>
    <col min="15" max="16384" width="8.6640625" style="158" hidden="1"/>
  </cols>
  <sheetData>
    <row r="1" spans="2:15"/>
    <row r="2" spans="2:15" s="157" customFormat="1" ht="22.05" customHeight="1">
      <c r="B2" s="327" t="s">
        <v>301</v>
      </c>
      <c r="C2" s="271">
        <v>1000000</v>
      </c>
      <c r="E2" s="328" t="s">
        <v>302</v>
      </c>
      <c r="F2" s="329" t="s">
        <v>303</v>
      </c>
      <c r="G2" s="330" t="s">
        <v>304</v>
      </c>
      <c r="M2" s="346" t="s">
        <v>94</v>
      </c>
      <c r="N2" s="347" t="s">
        <v>305</v>
      </c>
      <c r="O2" s="348" t="s">
        <v>306</v>
      </c>
    </row>
    <row r="3" spans="2:15" s="157" customFormat="1" ht="22.05" customHeight="1">
      <c r="B3" s="270" t="s">
        <v>307</v>
      </c>
      <c r="C3" s="275">
        <v>0.08</v>
      </c>
      <c r="E3" s="331" t="s">
        <v>308</v>
      </c>
      <c r="F3" s="332">
        <f>C2</f>
        <v>1000000</v>
      </c>
      <c r="G3" s="332">
        <f>C2</f>
        <v>1000000</v>
      </c>
      <c r="M3" s="348" t="s">
        <v>309</v>
      </c>
      <c r="N3" s="160">
        <v>100</v>
      </c>
      <c r="O3" s="157">
        <f t="shared" ref="O3:O22" si="0">IF(ISNUMBER(O2),O2+1,0+1)</f>
        <v>1</v>
      </c>
    </row>
    <row r="4" spans="2:15" s="157" customFormat="1" ht="22.05" customHeight="1">
      <c r="B4" s="270" t="s">
        <v>310</v>
      </c>
      <c r="C4" s="272">
        <v>0.312</v>
      </c>
      <c r="E4" s="333" t="s">
        <v>311</v>
      </c>
      <c r="F4" s="334">
        <f>C5</f>
        <v>0.08</v>
      </c>
      <c r="G4" s="334">
        <f>C3</f>
        <v>0.08</v>
      </c>
      <c r="M4" s="348" t="s">
        <v>312</v>
      </c>
      <c r="N4" s="160">
        <v>105</v>
      </c>
      <c r="O4" s="157">
        <f t="shared" si="0"/>
        <v>2</v>
      </c>
    </row>
    <row r="5" spans="2:15" s="157" customFormat="1" ht="22.05" customHeight="1">
      <c r="B5" s="327" t="s">
        <v>313</v>
      </c>
      <c r="C5" s="275">
        <v>0.08</v>
      </c>
      <c r="E5" s="331" t="s">
        <v>314</v>
      </c>
      <c r="F5" s="335">
        <f>VLOOKUP(C7,CII[],3,0)-VLOOKUP(C6,CII[],3,0)</f>
        <v>4</v>
      </c>
      <c r="G5" s="335">
        <f>VLOOKUP(C7,CII[],3,0)-VLOOKUP(C6,CII[],3,0)</f>
        <v>4</v>
      </c>
      <c r="M5" s="348" t="s">
        <v>315</v>
      </c>
      <c r="N5" s="160">
        <v>109</v>
      </c>
      <c r="O5" s="157">
        <f t="shared" si="0"/>
        <v>3</v>
      </c>
    </row>
    <row r="6" spans="2:15" s="157" customFormat="1" ht="22.05" customHeight="1">
      <c r="B6" s="270" t="s">
        <v>316</v>
      </c>
      <c r="C6" s="336" t="s">
        <v>317</v>
      </c>
      <c r="E6" s="333" t="s">
        <v>318</v>
      </c>
      <c r="F6" s="337">
        <f>IF(F5&lt;=0,"",FV(F4,F5,,-F3))</f>
        <v>1360488.9600000002</v>
      </c>
      <c r="G6" s="337">
        <f>IF(G5&lt;0,"",FV(G4,G5,,-G3))</f>
        <v>1360488.9600000002</v>
      </c>
      <c r="M6" s="348" t="s">
        <v>319</v>
      </c>
      <c r="N6" s="160">
        <v>113</v>
      </c>
      <c r="O6" s="157">
        <f t="shared" si="0"/>
        <v>4</v>
      </c>
    </row>
    <row r="7" spans="2:15" s="157" customFormat="1" ht="22.05" customHeight="1">
      <c r="B7" s="270" t="s">
        <v>320</v>
      </c>
      <c r="C7" s="336" t="s">
        <v>321</v>
      </c>
      <c r="E7" s="331" t="s">
        <v>322</v>
      </c>
      <c r="F7" s="335" t="s">
        <v>323</v>
      </c>
      <c r="G7" s="332">
        <f>IF(G5&lt;=0,"",G6-G3)</f>
        <v>360488.9600000002</v>
      </c>
      <c r="I7" s="894" t="str">
        <f>IF(F5&lt;=0,"SALE FY cannot be SAME or EARLIER than PURCHASE FY!",IF(F5&gt;=3,"","You're not entitled for Long term Capital Gain as investment tenure is less than 3 years"))</f>
        <v/>
      </c>
      <c r="J7" s="894"/>
      <c r="M7" s="348" t="s">
        <v>324</v>
      </c>
      <c r="N7" s="160">
        <v>117</v>
      </c>
      <c r="O7" s="157">
        <f t="shared" si="0"/>
        <v>5</v>
      </c>
    </row>
    <row r="8" spans="2:15" s="157" customFormat="1" ht="22.05" customHeight="1">
      <c r="B8" s="338" t="s">
        <v>325</v>
      </c>
      <c r="C8" s="267"/>
      <c r="E8" s="333" t="str">
        <f>IF(F5&gt;=3,"Long Term Capital Gain Before Indexation","Short Term Capital Gain")</f>
        <v>Long Term Capital Gain Before Indexation</v>
      </c>
      <c r="F8" s="337">
        <f>IF(F5&lt;=0,"",(F6-F3))</f>
        <v>360488.9600000002</v>
      </c>
      <c r="G8" s="339" t="s">
        <v>323</v>
      </c>
      <c r="I8" s="894"/>
      <c r="J8" s="894"/>
      <c r="M8" s="348" t="s">
        <v>326</v>
      </c>
      <c r="N8" s="160">
        <v>122</v>
      </c>
      <c r="O8" s="157">
        <f t="shared" si="0"/>
        <v>6</v>
      </c>
    </row>
    <row r="9" spans="2:15" s="157" customFormat="1" ht="22.05" customHeight="1">
      <c r="B9" s="893" t="s">
        <v>327</v>
      </c>
      <c r="C9" s="893"/>
      <c r="E9" s="331" t="str">
        <f>IF(F5&gt;=3,"Indexed Cost of Acquisition","Cost of Acquisition")</f>
        <v>Indexed Cost of Acquisition</v>
      </c>
      <c r="F9" s="340">
        <f t="array" ref="F9">IF(F5&lt;=0,"",IF(F5&gt;=3,F3*(VLOOKUP(C7,CII[],2,0)/VLOOKUP(C6,CII[],2,0)),F3))</f>
        <v>1140151.5151515151</v>
      </c>
      <c r="G9" s="341" t="s">
        <v>323</v>
      </c>
      <c r="M9" s="348" t="s">
        <v>328</v>
      </c>
      <c r="N9" s="160">
        <v>129</v>
      </c>
      <c r="O9" s="157">
        <f t="shared" si="0"/>
        <v>7</v>
      </c>
    </row>
    <row r="10" spans="2:15" s="157" customFormat="1" ht="22.05" customHeight="1">
      <c r="B10" s="893"/>
      <c r="C10" s="893"/>
      <c r="E10" s="331" t="str">
        <f>IF(F5&gt;=3,"Long Term Capital Gain after Indexation","Short Term Capital Gain")</f>
        <v>Long Term Capital Gain after Indexation</v>
      </c>
      <c r="F10" s="332">
        <f>IF(F5&lt;=0,"",F6-F9)</f>
        <v>220337.44484848506</v>
      </c>
      <c r="G10" s="341" t="s">
        <v>323</v>
      </c>
      <c r="M10" s="348" t="s">
        <v>329</v>
      </c>
      <c r="N10" s="160">
        <v>137</v>
      </c>
      <c r="O10" s="157">
        <f t="shared" si="0"/>
        <v>8</v>
      </c>
    </row>
    <row r="11" spans="2:15" s="157" customFormat="1" ht="22.05" customHeight="1">
      <c r="B11" s="893"/>
      <c r="C11" s="893"/>
      <c r="E11" s="333" t="s">
        <v>330</v>
      </c>
      <c r="F11" s="334">
        <f>IF(F5&gt;=3,20.6%,C4)</f>
        <v>0.20600000000000002</v>
      </c>
      <c r="G11" s="334">
        <f>C4</f>
        <v>0.312</v>
      </c>
      <c r="M11" s="348" t="s">
        <v>331</v>
      </c>
      <c r="N11" s="160">
        <v>148</v>
      </c>
      <c r="O11" s="157">
        <f t="shared" si="0"/>
        <v>9</v>
      </c>
    </row>
    <row r="12" spans="2:15" s="157" customFormat="1" ht="22.05" customHeight="1">
      <c r="E12" s="331" t="s">
        <v>332</v>
      </c>
      <c r="F12" s="332">
        <f>IF(F5&lt;=0,"",F11*F10)</f>
        <v>45389.513638787925</v>
      </c>
      <c r="G12" s="332">
        <f>IF(G5&lt;=0,"",G11*G7)</f>
        <v>112472.55552000007</v>
      </c>
      <c r="M12" s="348" t="s">
        <v>333</v>
      </c>
      <c r="N12" s="160">
        <v>167</v>
      </c>
      <c r="O12" s="157">
        <f t="shared" si="0"/>
        <v>10</v>
      </c>
    </row>
    <row r="13" spans="2:15" s="157" customFormat="1" ht="22.05" customHeight="1">
      <c r="E13" s="333" t="s">
        <v>334</v>
      </c>
      <c r="F13" s="342">
        <f>IF(F5&lt;=0,"",F8-F12)</f>
        <v>315099.44636121229</v>
      </c>
      <c r="G13" s="342">
        <f>IF(G5&lt;=0,"",G7-G12)</f>
        <v>248016.40448000014</v>
      </c>
      <c r="M13" s="348" t="s">
        <v>335</v>
      </c>
      <c r="N13" s="160">
        <v>184</v>
      </c>
      <c r="O13" s="157">
        <f t="shared" si="0"/>
        <v>11</v>
      </c>
    </row>
    <row r="14" spans="2:15" s="157" customFormat="1" ht="22.05" customHeight="1">
      <c r="E14" s="331" t="s">
        <v>318</v>
      </c>
      <c r="F14" s="332">
        <f>IF(F5&lt;=0,"",F3+F13)</f>
        <v>1315099.4463612123</v>
      </c>
      <c r="G14" s="332">
        <f>IF(G5&lt;=0,"",G3+G13)</f>
        <v>1248016.40448</v>
      </c>
      <c r="M14" s="348" t="s">
        <v>336</v>
      </c>
      <c r="N14" s="160">
        <v>200</v>
      </c>
      <c r="O14" s="157">
        <f t="shared" si="0"/>
        <v>12</v>
      </c>
    </row>
    <row r="15" spans="2:15" s="157" customFormat="1" ht="22.05" customHeight="1">
      <c r="E15" s="343" t="s">
        <v>337</v>
      </c>
      <c r="F15" s="344">
        <f>IF(F5&lt;=0,"",RATE(F5,,-F3,F14))</f>
        <v>7.0877142333449911E-2</v>
      </c>
      <c r="G15" s="345">
        <f>IF(G5&lt;=0,"",RATE(G5,,-G3,G14))</f>
        <v>5.6951534205787802E-2</v>
      </c>
      <c r="M15" s="348" t="s">
        <v>338</v>
      </c>
      <c r="N15" s="160">
        <v>220</v>
      </c>
      <c r="O15" s="157">
        <f t="shared" si="0"/>
        <v>13</v>
      </c>
    </row>
    <row r="16" spans="2:15" ht="22.05" customHeight="1">
      <c r="D16" s="157"/>
      <c r="M16" s="349" t="s">
        <v>339</v>
      </c>
      <c r="N16" s="159">
        <v>240</v>
      </c>
      <c r="O16" s="158">
        <f t="shared" si="0"/>
        <v>14</v>
      </c>
    </row>
    <row r="17" spans="13:15" ht="22.05" hidden="1" customHeight="1">
      <c r="M17" s="349" t="s">
        <v>340</v>
      </c>
      <c r="N17" s="159">
        <v>254</v>
      </c>
      <c r="O17" s="158">
        <f t="shared" si="0"/>
        <v>15</v>
      </c>
    </row>
    <row r="18" spans="13:15" ht="22.05" hidden="1" customHeight="1">
      <c r="M18" s="349" t="s">
        <v>317</v>
      </c>
      <c r="N18" s="159">
        <v>264</v>
      </c>
      <c r="O18" s="158">
        <f t="shared" si="0"/>
        <v>16</v>
      </c>
    </row>
    <row r="19" spans="13:15" ht="22.05" hidden="1" customHeight="1">
      <c r="M19" s="349" t="s">
        <v>341</v>
      </c>
      <c r="N19" s="159">
        <v>272</v>
      </c>
      <c r="O19" s="158">
        <f t="shared" si="0"/>
        <v>17</v>
      </c>
    </row>
    <row r="20" spans="13:15" ht="22.05" hidden="1" customHeight="1">
      <c r="M20" s="349" t="s">
        <v>342</v>
      </c>
      <c r="N20" s="159">
        <v>280</v>
      </c>
      <c r="O20" s="158">
        <f t="shared" si="0"/>
        <v>18</v>
      </c>
    </row>
    <row r="21" spans="13:15" ht="22.05" hidden="1" customHeight="1">
      <c r="M21" s="349" t="s">
        <v>343</v>
      </c>
      <c r="N21" s="159">
        <v>289</v>
      </c>
      <c r="O21" s="158">
        <f t="shared" si="0"/>
        <v>19</v>
      </c>
    </row>
    <row r="22" spans="13:15" ht="22.05" hidden="1" customHeight="1">
      <c r="M22" s="350" t="s">
        <v>321</v>
      </c>
      <c r="N22" s="159">
        <v>301</v>
      </c>
      <c r="O22" s="158">
        <f t="shared" si="0"/>
        <v>20</v>
      </c>
    </row>
    <row r="23" spans="13:15" ht="22.05" hidden="1" customHeight="1"/>
    <row r="24" spans="13:15" ht="22.05" hidden="1" customHeight="1"/>
    <row r="25" spans="13:15" ht="22.05" hidden="1" customHeight="1"/>
    <row r="26" spans="13:15" ht="22.05" hidden="1" customHeight="1"/>
    <row r="27" spans="13:15" ht="22.05" hidden="1" customHeight="1"/>
    <row r="28" spans="13:15" ht="22.05" hidden="1" customHeight="1"/>
    <row r="29" spans="13:15" ht="22.05" hidden="1" customHeight="1"/>
    <row r="30" spans="13:15" ht="22.05" hidden="1" customHeight="1"/>
    <row r="31" spans="13:15" ht="22.05" hidden="1" customHeight="1"/>
    <row r="32" spans="13:15" ht="22.05" hidden="1" customHeight="1"/>
    <row r="33" ht="22.05" hidden="1" customHeight="1"/>
    <row r="34" ht="22.05" hidden="1" customHeight="1"/>
    <row r="35" ht="22.05" hidden="1" customHeight="1"/>
    <row r="36" ht="22.05" hidden="1" customHeight="1"/>
    <row r="37" ht="22.05" hidden="1" customHeight="1"/>
    <row r="38" ht="22.05" hidden="1" customHeight="1"/>
    <row r="39" ht="22.05" hidden="1" customHeight="1"/>
    <row r="40" ht="22.05" hidden="1" customHeight="1"/>
    <row r="41" ht="22.05" hidden="1" customHeight="1"/>
    <row r="42" ht="22.05" hidden="1" customHeight="1"/>
    <row r="43" ht="22.05" hidden="1" customHeight="1"/>
    <row r="44" ht="22.05" hidden="1" customHeight="1"/>
    <row r="45" ht="22.05" hidden="1" customHeight="1"/>
    <row r="46" ht="22.05" hidden="1" customHeight="1"/>
    <row r="47" ht="22.05" hidden="1" customHeight="1"/>
    <row r="48" ht="22.05" hidden="1" customHeight="1"/>
    <row r="49" ht="22.05" hidden="1" customHeight="1"/>
  </sheetData>
  <sheetProtection algorithmName="SHA-512" hashValue="z8sgtWneIZaHqXWWTR5T9NJ0WZus3BNtD/0scsu9rlQCbd/9f//xj3J8PDkmetZYAo7hz6FgtG0L3EBDT3SKsw==" saltValue="5u0AgCNbP8M4janieChf4w==" spinCount="100000" sheet="1" objects="1"/>
  <mergeCells count="2">
    <mergeCell ref="B9:C11"/>
    <mergeCell ref="I7:J8"/>
  </mergeCells>
  <dataValidations count="3">
    <dataValidation type="list" allowBlank="1" showInputMessage="1" showErrorMessage="1" sqref="C4" xr:uid="{00000000-0002-0000-0E00-000000000000}">
      <formula1>"5.20%,20.80%,31.20%"</formula1>
    </dataValidation>
    <dataValidation allowBlank="1" showInputMessage="1" showErrorMessage="1" errorTitle="Wrong value entered!!!" error="Enter whole number which is &gt;= 3" sqref="F5:G5" xr:uid="{00000000-0002-0000-0E00-000001000000}"/>
    <dataValidation type="list" allowBlank="1" showInputMessage="1" showErrorMessage="1" sqref="C6:C7" xr:uid="{00000000-0002-0000-0E00-000002000000}">
      <formula1>INDIRECT("CII[YEAR]")</formula1>
    </dataValidation>
  </dataValidations>
  <pageMargins left="0.7" right="0.7" top="0.75" bottom="0.75" header="0.3" footer="0.3"/>
  <pageSetup paperSize="9" scale="87" orientation="portrait"/>
  <colBreaks count="1" manualBreakCount="1">
    <brk id="7" max="1048575" man="1"/>
  </colBreaks>
  <drawing r:id="rId1"/>
  <tableParts count="1">
    <tablePart r:id="rId2"/>
  </tableParts>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B1:P18"/>
  <sheetViews>
    <sheetView showGridLines="0" workbookViewId="0"/>
  </sheetViews>
  <sheetFormatPr defaultColWidth="8.6640625" defaultRowHeight="14.4"/>
  <cols>
    <col min="1" max="1" width="1.88671875" style="268" customWidth="1"/>
    <col min="2" max="2" width="14.6640625" style="268" customWidth="1"/>
    <col min="3" max="7" width="12.88671875" style="268" customWidth="1"/>
    <col min="8" max="8" width="1.88671875" style="268" customWidth="1"/>
    <col min="9" max="12" width="12.88671875" style="268" customWidth="1"/>
    <col min="13" max="14" width="8.6640625" style="268"/>
    <col min="15" max="15" width="8.6640625" style="268" hidden="1" customWidth="1"/>
    <col min="16" max="16384" width="8.6640625" style="268"/>
  </cols>
  <sheetData>
    <row r="1" spans="2:16">
      <c r="B1" s="895" t="s">
        <v>344</v>
      </c>
      <c r="C1" s="895"/>
      <c r="G1" s="269" t="s">
        <v>345</v>
      </c>
      <c r="J1" s="899" t="s">
        <v>346</v>
      </c>
      <c r="K1" s="899"/>
      <c r="L1" s="899"/>
    </row>
    <row r="2" spans="2:16" s="267" customFormat="1" ht="20.100000000000001" customHeight="1">
      <c r="B2" s="896"/>
      <c r="C2" s="896"/>
      <c r="G2" s="900" t="s">
        <v>347</v>
      </c>
      <c r="H2" s="901"/>
      <c r="I2"/>
      <c r="J2" s="902" t="s">
        <v>348</v>
      </c>
      <c r="K2" s="902"/>
      <c r="L2" s="902"/>
      <c r="O2" s="267" t="s">
        <v>347</v>
      </c>
    </row>
    <row r="3" spans="2:16" s="267" customFormat="1" ht="20.100000000000001" customHeight="1">
      <c r="B3" s="270" t="s">
        <v>301</v>
      </c>
      <c r="C3" s="271">
        <v>5000000</v>
      </c>
      <c r="G3" s="269" t="s">
        <v>349</v>
      </c>
      <c r="J3" s="903" t="str">
        <f>IF(J2="Same as MF Rate of Return",G4,"Mention below")</f>
        <v>Mention below</v>
      </c>
      <c r="K3" s="903"/>
      <c r="L3" s="903"/>
      <c r="O3" s="267" t="s">
        <v>350</v>
      </c>
    </row>
    <row r="4" spans="2:16" s="267" customFormat="1" ht="20.100000000000001" customHeight="1">
      <c r="B4" s="270" t="s">
        <v>310</v>
      </c>
      <c r="C4" s="272">
        <v>0.312</v>
      </c>
      <c r="G4" s="904">
        <v>0.12</v>
      </c>
      <c r="H4" s="904"/>
      <c r="I4" s="324"/>
      <c r="J4" s="905">
        <v>0.12</v>
      </c>
      <c r="K4" s="906"/>
      <c r="L4" s="906"/>
    </row>
    <row r="5" spans="2:16" s="267" customFormat="1" ht="20.100000000000001" customHeight="1">
      <c r="B5" s="270" t="s">
        <v>29</v>
      </c>
      <c r="C5" s="275">
        <v>7.0000000000000007E-2</v>
      </c>
      <c r="H5" s="319"/>
      <c r="I5" s="319"/>
      <c r="J5" s="325" t="str">
        <f>IF(J3="Mention below","*Monthly compounding rate of above will be considered","")</f>
        <v>*Monthly compounding rate of above will be considered</v>
      </c>
    </row>
    <row r="6" spans="2:16">
      <c r="B6" s="898" t="str">
        <f>IF(ISBLANK(G2),"SUMMARY CASH-FLOW for 5 years in case of SWP from Debt Fund vs. Dividend Payout","SUMMARY CASH-FLOW for 5 years in case of SWP from "&amp;G2&amp;" vs. Dividend Payout")</f>
        <v>SUMMARY CASH-FLOW for 5 years in case of SWP from Balanced /Equity vs. Dividend Payout</v>
      </c>
      <c r="C6" s="898"/>
      <c r="D6" s="898"/>
      <c r="E6" s="898"/>
      <c r="F6" s="898"/>
      <c r="G6" s="898"/>
      <c r="H6" s="898"/>
      <c r="I6" s="898"/>
      <c r="J6" s="898"/>
      <c r="K6" s="898"/>
      <c r="L6" s="898"/>
      <c r="M6" s="897" t="s">
        <v>351</v>
      </c>
      <c r="N6" s="897"/>
      <c r="O6" s="897"/>
      <c r="P6" s="897"/>
    </row>
    <row r="7" spans="2:16">
      <c r="B7" s="898"/>
      <c r="C7" s="898"/>
      <c r="D7" s="898"/>
      <c r="E7" s="898"/>
      <c r="F7" s="898"/>
      <c r="G7" s="898"/>
      <c r="H7" s="898"/>
      <c r="I7" s="898"/>
      <c r="J7" s="898"/>
      <c r="K7" s="898"/>
      <c r="L7" s="898"/>
      <c r="M7" s="897"/>
      <c r="N7" s="897"/>
      <c r="O7" s="897"/>
      <c r="P7" s="897"/>
    </row>
    <row r="8" spans="2:16">
      <c r="B8" s="278" t="str">
        <f>"SWP from "&amp;IF(ISBLANK(G2),"Debt Fund",G2)</f>
        <v>SWP from Balanced /Equity</v>
      </c>
      <c r="I8" s="278" t="str">
        <f>"Dividend Payout from "&amp;IF(ISBLANK(G2),"Debt Fund",G2)</f>
        <v>Dividend Payout from Balanced /Equity</v>
      </c>
      <c r="M8" s="897"/>
      <c r="N8" s="897"/>
      <c r="O8" s="897"/>
      <c r="P8" s="897"/>
    </row>
    <row r="9" spans="2:16" s="267" customFormat="1" ht="28.8">
      <c r="B9" s="279" t="s">
        <v>94</v>
      </c>
      <c r="C9" s="280" t="s">
        <v>148</v>
      </c>
      <c r="D9" s="281" t="s">
        <v>352</v>
      </c>
      <c r="E9" s="281" t="s">
        <v>353</v>
      </c>
      <c r="F9" s="281" t="s">
        <v>354</v>
      </c>
      <c r="G9" s="282" t="s">
        <v>355</v>
      </c>
      <c r="I9" s="279" t="s">
        <v>94</v>
      </c>
      <c r="J9" s="280" t="s">
        <v>148</v>
      </c>
      <c r="K9" s="281" t="s">
        <v>356</v>
      </c>
      <c r="L9" s="282" t="s">
        <v>355</v>
      </c>
      <c r="M9" s="897"/>
      <c r="N9" s="897"/>
      <c r="O9" s="897"/>
      <c r="P9" s="897"/>
    </row>
    <row r="10" spans="2:16" s="267" customFormat="1" ht="20.100000000000001" customHeight="1">
      <c r="B10" s="182">
        <v>1</v>
      </c>
      <c r="C10" s="283">
        <f>'SWP_CashFlow (2)'!C19</f>
        <v>569327.57607498276</v>
      </c>
      <c r="D10" s="169">
        <f>'SWP_CashFlow (2)'!J19</f>
        <v>5041.993554103984</v>
      </c>
      <c r="E10" s="285"/>
      <c r="F10" s="286">
        <f>D10+E10</f>
        <v>5041.993554103984</v>
      </c>
      <c r="G10" s="287">
        <f>'SWP_CashFlow (2)'!J20</f>
        <v>8.8560501299869109E-3</v>
      </c>
      <c r="I10" s="182">
        <v>1</v>
      </c>
      <c r="J10" s="286">
        <f>'SWP_CashFlow (2)'!N19</f>
        <v>569327.57607498276</v>
      </c>
      <c r="K10" s="286">
        <f>'SWP_CashFlow (2)'!S19</f>
        <v>177630.20373539472</v>
      </c>
      <c r="L10" s="303">
        <f>'SWP_CashFlow (2)'!S20</f>
        <v>0.31200000000000017</v>
      </c>
      <c r="M10" s="897"/>
      <c r="N10" s="897"/>
      <c r="O10" s="897"/>
      <c r="P10" s="897"/>
    </row>
    <row r="11" spans="2:16" s="267" customFormat="1" ht="20.100000000000001" customHeight="1">
      <c r="B11" s="182">
        <v>2</v>
      </c>
      <c r="C11" s="283">
        <f>'SWP_CashFlow (2)'!C33</f>
        <v>569327.57607498276</v>
      </c>
      <c r="D11" s="169">
        <f>IF(OR(ISBLANK(G2),G2="Debt Fund"),'SWP_CashFlow (2)'!J33,0)</f>
        <v>0</v>
      </c>
      <c r="E11" s="288">
        <f>IF(G2="Balanced /Equity",'SWP_CashFlow (2)'!J33,0)</f>
        <v>9465.1699526142274</v>
      </c>
      <c r="F11" s="286">
        <f t="shared" ref="F11:F14" si="0">D11+E11</f>
        <v>9465.1699526142274</v>
      </c>
      <c r="G11" s="287">
        <f>'SWP_CashFlow (2)'!J34</f>
        <v>1.6625173889991983E-2</v>
      </c>
      <c r="I11" s="182">
        <v>2</v>
      </c>
      <c r="J11" s="286">
        <f>'SWP_CashFlow (2)'!N33</f>
        <v>569327.57607498276</v>
      </c>
      <c r="K11" s="286">
        <f>'SWP_CashFlow (2)'!S33</f>
        <v>177630.20373539472</v>
      </c>
      <c r="L11" s="303">
        <f>'SWP_CashFlow (2)'!S34</f>
        <v>0.31200000000000017</v>
      </c>
      <c r="M11" s="897"/>
      <c r="N11" s="897"/>
      <c r="O11" s="897"/>
      <c r="P11" s="897"/>
    </row>
    <row r="12" spans="2:16" s="267" customFormat="1" ht="20.100000000000001" customHeight="1">
      <c r="B12" s="182">
        <v>3</v>
      </c>
      <c r="C12" s="283">
        <f>'SWP_CashFlow (2)'!C47</f>
        <v>569327.57607498276</v>
      </c>
      <c r="D12" s="169">
        <f>IF(OR(ISBLANK(G2),G2="Debt Fund"),'SWP_CashFlow (2)'!J47,0)</f>
        <v>0</v>
      </c>
      <c r="E12" s="288">
        <f>IF(G2="Balanced /Equity",'SWP_CashFlow (2)'!J47,0)</f>
        <v>14794.980448241122</v>
      </c>
      <c r="F12" s="286">
        <f t="shared" si="0"/>
        <v>14794.980448241122</v>
      </c>
      <c r="G12" s="287">
        <f>'SWP_CashFlow (2)'!J48</f>
        <v>2.5986762401778624E-2</v>
      </c>
      <c r="I12" s="182">
        <v>3</v>
      </c>
      <c r="J12" s="286">
        <f>'SWP_CashFlow (2)'!N47</f>
        <v>569327.57607498276</v>
      </c>
      <c r="K12" s="286">
        <f>'SWP_CashFlow (2)'!S47</f>
        <v>177630.20373539472</v>
      </c>
      <c r="L12" s="303">
        <f>'SWP_CashFlow (2)'!S48</f>
        <v>0.31200000000000017</v>
      </c>
      <c r="M12" s="897"/>
      <c r="N12" s="897"/>
      <c r="O12" s="897"/>
      <c r="P12" s="897"/>
    </row>
    <row r="13" spans="2:16" s="267" customFormat="1" ht="20.100000000000001" customHeight="1">
      <c r="B13" s="182">
        <v>4</v>
      </c>
      <c r="C13" s="283">
        <f>'SWP_CashFlow (2)'!C61</f>
        <v>569327.57607498276</v>
      </c>
      <c r="D13" s="285"/>
      <c r="E13" s="284">
        <f>'SWP_CashFlow (2)'!J61</f>
        <v>19553.739819336555</v>
      </c>
      <c r="F13" s="286">
        <f t="shared" si="0"/>
        <v>19553.739819336555</v>
      </c>
      <c r="G13" s="287">
        <f>'SWP_CashFlow (2)'!J62</f>
        <v>3.4345323573016687E-2</v>
      </c>
      <c r="I13" s="182">
        <v>4</v>
      </c>
      <c r="J13" s="286">
        <f>'SWP_CashFlow (2)'!N61</f>
        <v>569327.57607498276</v>
      </c>
      <c r="K13" s="286">
        <f>'SWP_CashFlow (2)'!S61</f>
        <v>177630.20373539472</v>
      </c>
      <c r="L13" s="303">
        <f>'SWP_CashFlow (2)'!S62</f>
        <v>0.31200000000000017</v>
      </c>
      <c r="M13" s="897"/>
      <c r="N13" s="897"/>
      <c r="O13" s="897"/>
      <c r="P13" s="897"/>
    </row>
    <row r="14" spans="2:16" s="267" customFormat="1" ht="20.100000000000001" customHeight="1">
      <c r="B14" s="182">
        <v>5</v>
      </c>
      <c r="C14" s="283">
        <f>'SWP_CashFlow (2)'!C75</f>
        <v>569327.57607498276</v>
      </c>
      <c r="D14" s="285"/>
      <c r="E14" s="284">
        <f>'SWP_CashFlow (2)'!J75</f>
        <v>23802.632114957476</v>
      </c>
      <c r="F14" s="286">
        <f t="shared" si="0"/>
        <v>23802.632114957476</v>
      </c>
      <c r="G14" s="287">
        <f>'SWP_CashFlow (2)'!J76</f>
        <v>4.180832461876495E-2</v>
      </c>
      <c r="I14" s="182">
        <v>5</v>
      </c>
      <c r="J14" s="286">
        <f>'SWP_CashFlow (2)'!N75</f>
        <v>569327.57607498276</v>
      </c>
      <c r="K14" s="286">
        <f>'SWP_CashFlow (2)'!S75</f>
        <v>177630.20373539472</v>
      </c>
      <c r="L14" s="303">
        <f>'SWP_CashFlow (2)'!S76</f>
        <v>0.31200000000000017</v>
      </c>
      <c r="M14" s="897"/>
      <c r="N14" s="897"/>
      <c r="O14" s="897"/>
      <c r="P14" s="897"/>
    </row>
    <row r="15" spans="2:16" s="267" customFormat="1" ht="20.100000000000001" customHeight="1">
      <c r="B15" s="289" t="s">
        <v>357</v>
      </c>
      <c r="C15" s="320">
        <f>SUM(C10:C14)</f>
        <v>2846637.880374914</v>
      </c>
      <c r="D15" s="321"/>
      <c r="E15" s="321"/>
      <c r="F15" s="322">
        <f>SUM(F10:F14)</f>
        <v>72658.515889253365</v>
      </c>
      <c r="G15" s="323">
        <f>SUM(G10:G14)/5</f>
        <v>2.552432692270783E-2</v>
      </c>
      <c r="H15" s="294"/>
      <c r="I15" s="289" t="s">
        <v>357</v>
      </c>
      <c r="J15" s="320">
        <f>SUM(J10:J14)</f>
        <v>2846637.880374914</v>
      </c>
      <c r="K15" s="322">
        <f>SUM(K10:K14)</f>
        <v>888151.01867697365</v>
      </c>
      <c r="L15" s="323">
        <f>SUM(L10:L14)/5</f>
        <v>0.31200000000000017</v>
      </c>
      <c r="M15" s="897"/>
      <c r="N15" s="897"/>
      <c r="O15" s="897"/>
      <c r="P15" s="897"/>
    </row>
    <row r="16" spans="2:16">
      <c r="B16" s="295" t="s">
        <v>358</v>
      </c>
      <c r="C16" s="296"/>
      <c r="D16" s="297">
        <f>'SWP_CashFlow (2)'!K74</f>
        <v>4999999.9999999981</v>
      </c>
      <c r="E16" s="296"/>
      <c r="F16" s="296"/>
      <c r="G16" s="298"/>
      <c r="I16" s="295" t="s">
        <v>358</v>
      </c>
      <c r="J16" s="296"/>
      <c r="K16" s="297">
        <f>'SWP_CashFlow (2)'!T74</f>
        <v>5000000</v>
      </c>
      <c r="L16" s="298"/>
      <c r="M16" s="897"/>
      <c r="N16" s="897"/>
      <c r="O16" s="897"/>
      <c r="P16" s="897"/>
    </row>
    <row r="18" spans="11:12" hidden="1">
      <c r="K18" s="326">
        <f>IF(ISTEXT(J3),J4,J3)</f>
        <v>0.12</v>
      </c>
      <c r="L18"/>
    </row>
  </sheetData>
  <sheetProtection algorithmName="SHA-512" hashValue="9IDwyJQjqSgBrqddO/+7KXMN39jSdPQi38GRNDeGsJhRGSgJJfCEdto8R5RzCGhs1PnQrh5c8lbSYoerdh+4/g==" saltValue="mc57iqMXjgCqGDRZi4gOGg==" spinCount="100000" sheet="1" objects="1"/>
  <mergeCells count="9">
    <mergeCell ref="B1:C2"/>
    <mergeCell ref="M6:P16"/>
    <mergeCell ref="B6:L7"/>
    <mergeCell ref="J1:L1"/>
    <mergeCell ref="G2:H2"/>
    <mergeCell ref="J2:L2"/>
    <mergeCell ref="J3:L3"/>
    <mergeCell ref="G4:H4"/>
    <mergeCell ref="J4:L4"/>
  </mergeCells>
  <conditionalFormatting sqref="J4:L4">
    <cfRule type="expression" dxfId="52" priority="1">
      <formula>$J$3="Mention below"</formula>
    </cfRule>
  </conditionalFormatting>
  <dataValidations count="3">
    <dataValidation type="list" allowBlank="1" showInputMessage="1" showErrorMessage="1" sqref="G2" xr:uid="{00000000-0002-0000-0F00-000000000000}">
      <formula1>Validation</formula1>
    </dataValidation>
    <dataValidation type="list" allowBlank="1" showInputMessage="1" showErrorMessage="1" sqref="J2:L2" xr:uid="{00000000-0002-0000-0F00-000001000000}">
      <formula1>"Same as MF Rate of Return, Different than MF Rate of Return"</formula1>
    </dataValidation>
    <dataValidation type="list" allowBlank="1" showInputMessage="1" showErrorMessage="1" sqref="C4" xr:uid="{00000000-0002-0000-0F00-000002000000}">
      <formula1>TaxSlab</formula1>
    </dataValidation>
  </dataValidations>
  <pageMargins left="0.7" right="0.7" top="0.75" bottom="0.75" header="0.3" footer="0.3"/>
  <pageSetup paperSize="9" scale="99" orientation="landscape"/>
  <colBreaks count="1" manualBreakCount="1">
    <brk id="12" max="1048575" man="1"/>
  </colBreaks>
  <drawing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B1:Z76"/>
  <sheetViews>
    <sheetView showGridLines="0" workbookViewId="0">
      <pane ySplit="5" topLeftCell="A6" activePane="bottomLeft" state="frozen"/>
      <selection pane="bottomLeft" activeCell="J65" sqref="J65"/>
    </sheetView>
  </sheetViews>
  <sheetFormatPr defaultColWidth="8.6640625" defaultRowHeight="14.4"/>
  <cols>
    <col min="1" max="1" width="1.44140625" style="208" customWidth="1"/>
    <col min="2" max="2" width="9.5546875" style="208" customWidth="1"/>
    <col min="3" max="3" width="12.21875" style="208" customWidth="1"/>
    <col min="4" max="4" width="7" style="208" customWidth="1"/>
    <col min="5" max="5" width="11.33203125" style="208" customWidth="1"/>
    <col min="6" max="6" width="14.5546875" style="208" customWidth="1"/>
    <col min="7" max="7" width="10.88671875" style="208" customWidth="1"/>
    <col min="8" max="9" width="11.5546875" style="208" customWidth="1"/>
    <col min="10" max="10" width="12.21875" style="208" customWidth="1"/>
    <col min="11" max="11" width="13" style="208" customWidth="1"/>
    <col min="12" max="12" width="5" style="208" customWidth="1"/>
    <col min="13" max="13" width="6.5546875" style="208" customWidth="1"/>
    <col min="14" max="14" width="10.5546875" style="208" customWidth="1"/>
    <col min="15" max="15" width="11.5546875" style="208" customWidth="1"/>
    <col min="16" max="16" width="10.33203125" style="208" customWidth="1"/>
    <col min="17" max="18" width="6.88671875" style="208" customWidth="1"/>
    <col min="19" max="19" width="12" style="208" customWidth="1"/>
    <col min="20" max="20" width="13" style="208" customWidth="1"/>
    <col min="21" max="21" width="10.5546875" style="208" customWidth="1"/>
    <col min="22" max="25" width="8.6640625" style="208"/>
    <col min="26" max="26" width="8.88671875" style="208" customWidth="1"/>
    <col min="27" max="16384" width="8.6640625" style="208"/>
  </cols>
  <sheetData>
    <row r="1" spans="2:26">
      <c r="B1" s="209" t="s">
        <v>359</v>
      </c>
      <c r="C1" s="209"/>
      <c r="D1" s="305" t="s">
        <v>360</v>
      </c>
      <c r="E1" s="306"/>
      <c r="F1" s="212">
        <f>'Debt_FD_SWP (2)'!G4</f>
        <v>0.12</v>
      </c>
      <c r="G1" s="911" t="s">
        <v>361</v>
      </c>
      <c r="H1" s="911"/>
      <c r="I1" s="911"/>
      <c r="L1" s="243"/>
      <c r="M1" s="310" t="s">
        <v>362</v>
      </c>
      <c r="U1" s="265"/>
      <c r="V1" s="265"/>
      <c r="Z1" s="266"/>
    </row>
    <row r="2" spans="2:26">
      <c r="B2" s="307" t="s">
        <v>363</v>
      </c>
      <c r="C2" s="308">
        <f>'Debt_FD_SWP (2)'!C3</f>
        <v>5000000</v>
      </c>
      <c r="D2" s="912" t="s">
        <v>364</v>
      </c>
      <c r="E2" s="913"/>
      <c r="F2" s="212">
        <f>'Debt_FD_SWP (2)'!K18</f>
        <v>0.12</v>
      </c>
      <c r="G2" s="914" t="str">
        <f>IF(ISNA((INDEX(B7:C74,MATCH(0,C7:C74,0),1)-1)),"Yes!","No, it will last for "&amp;(INDEX(B7:C74,MATCH(0,C7:C74,0),1)-1)&amp;" months")</f>
        <v>Yes!</v>
      </c>
      <c r="H2" s="914"/>
      <c r="I2" s="914"/>
      <c r="K2" s="247">
        <f>IF(G2="Yes!",60,(INDEX(B7:C74,MATCH(0,C7:C74,0),1)-1))</f>
        <v>60</v>
      </c>
      <c r="L2" s="243"/>
      <c r="M2" s="311" t="s">
        <v>365</v>
      </c>
      <c r="N2" s="312" t="s">
        <v>366</v>
      </c>
      <c r="O2" s="313">
        <f>'Debt_FD_SWP (2)'!C4</f>
        <v>0.312</v>
      </c>
      <c r="P2"/>
      <c r="Q2"/>
      <c r="R2"/>
      <c r="S2"/>
      <c r="T2"/>
      <c r="U2" s="265"/>
      <c r="V2" s="266"/>
      <c r="Z2" s="266"/>
    </row>
    <row r="3" spans="2:26">
      <c r="B3" s="908" t="s">
        <v>367</v>
      </c>
      <c r="C3" s="910" t="str">
        <f>'Debt_FD_SWP (2)'!G2</f>
        <v>Balanced /Equity</v>
      </c>
      <c r="D3" s="912" t="s">
        <v>29</v>
      </c>
      <c r="E3" s="913"/>
      <c r="F3" s="212">
        <f>'Debt_FD_SWP (2)'!C5</f>
        <v>7.0000000000000007E-2</v>
      </c>
      <c r="G3" s="915" t="s">
        <v>368</v>
      </c>
      <c r="H3" s="915"/>
      <c r="I3" s="915"/>
      <c r="K3" s="243"/>
      <c r="L3" s="243"/>
      <c r="M3" s="314" t="s">
        <v>369</v>
      </c>
      <c r="N3" s="312" t="s">
        <v>366</v>
      </c>
      <c r="O3" s="313">
        <f>E_DDT</f>
        <v>0.312</v>
      </c>
      <c r="P3"/>
      <c r="Q3"/>
      <c r="R3"/>
      <c r="S3"/>
      <c r="T3"/>
      <c r="U3" s="265"/>
    </row>
    <row r="4" spans="2:26">
      <c r="B4" s="909"/>
      <c r="C4" s="910"/>
      <c r="D4" s="309" t="s">
        <v>370</v>
      </c>
      <c r="E4" s="306"/>
      <c r="F4" s="217">
        <f>'Debt_FD_SWP (2)'!C4</f>
        <v>0.312</v>
      </c>
      <c r="G4" s="907">
        <f>VLOOKUP(K2,B7:K74,10,0)</f>
        <v>4999999.9999999981</v>
      </c>
      <c r="H4" s="907"/>
      <c r="I4" s="907"/>
      <c r="K4" s="243"/>
      <c r="L4" s="247">
        <f>IF(F2&gt;F1,0,1)</f>
        <v>1</v>
      </c>
      <c r="M4" s="315" t="str">
        <f>IF(L4=0,"Withdrawal% can't be &gt; return% in case of dividend calculation.","")</f>
        <v/>
      </c>
    </row>
    <row r="5" spans="2:26" ht="28.8">
      <c r="B5" s="250" t="s">
        <v>371</v>
      </c>
      <c r="C5" s="219" t="s">
        <v>372</v>
      </c>
      <c r="D5" s="220" t="s">
        <v>373</v>
      </c>
      <c r="E5" s="221" t="s">
        <v>374</v>
      </c>
      <c r="F5" s="222" t="s">
        <v>375</v>
      </c>
      <c r="G5" s="222" t="s">
        <v>376</v>
      </c>
      <c r="H5" s="222" t="s">
        <v>377</v>
      </c>
      <c r="I5" s="219" t="s">
        <v>378</v>
      </c>
      <c r="J5" s="219" t="s">
        <v>379</v>
      </c>
      <c r="K5" s="248" t="s">
        <v>380</v>
      </c>
      <c r="L5" s="249"/>
      <c r="M5" s="250" t="s">
        <v>371</v>
      </c>
      <c r="N5" s="219" t="s">
        <v>381</v>
      </c>
      <c r="O5" s="219" t="s">
        <v>382</v>
      </c>
      <c r="P5" s="219" t="s">
        <v>383</v>
      </c>
      <c r="Q5" s="219" t="s">
        <v>384</v>
      </c>
      <c r="R5" s="219" t="s">
        <v>385</v>
      </c>
      <c r="S5" s="219" t="s">
        <v>379</v>
      </c>
      <c r="T5" s="248" t="s">
        <v>380</v>
      </c>
    </row>
    <row r="6" spans="2:26">
      <c r="B6" s="223">
        <v>0</v>
      </c>
      <c r="C6" s="224">
        <f>$C$2*$F$2/12</f>
        <v>50000</v>
      </c>
      <c r="D6" s="225"/>
      <c r="E6" s="226"/>
      <c r="F6" s="227">
        <f>C2/10</f>
        <v>500000</v>
      </c>
      <c r="G6" s="225"/>
      <c r="H6" s="225"/>
      <c r="I6" s="225"/>
      <c r="J6" s="225"/>
      <c r="K6" s="225"/>
      <c r="L6" s="251"/>
      <c r="M6" s="223">
        <v>0</v>
      </c>
      <c r="N6" s="226"/>
      <c r="O6" s="252"/>
      <c r="P6" s="252"/>
      <c r="Q6" s="225"/>
      <c r="R6" s="226"/>
      <c r="S6" s="252"/>
      <c r="T6" s="225"/>
    </row>
    <row r="7" spans="2:26">
      <c r="B7" s="228">
        <v>1</v>
      </c>
      <c r="C7" s="229">
        <f>IF(C6=0,0,IF((C6/D7)&gt;F6,IF(F6=0,0,F6*D7),$C$2*((1+$F$2)^(1/12)-1)))</f>
        <v>47443.96467291523</v>
      </c>
      <c r="D7" s="230">
        <f>10*(1+((1+$F$1)^(1/12)-1))</f>
        <v>10.09488792934583</v>
      </c>
      <c r="E7" s="230">
        <f>IF((C7/D7)&gt;F6,F6,(C7/D7))</f>
        <v>4699.801028498362</v>
      </c>
      <c r="F7" s="227">
        <f t="shared" ref="F7:F18" si="0">F6-E7</f>
        <v>495300.19897150161</v>
      </c>
      <c r="G7" s="230">
        <f>E7*(D7-10)</f>
        <v>445.95438793161389</v>
      </c>
      <c r="H7" s="230"/>
      <c r="I7" s="230"/>
      <c r="J7" s="227">
        <f>IF($C$3="Balanced /Equity",G7*15%,G7*$F$4)</f>
        <v>66.893158189742081</v>
      </c>
      <c r="K7" s="229">
        <f t="shared" ref="K7:K18" si="1">D7*F7</f>
        <v>5000000</v>
      </c>
      <c r="L7" s="253"/>
      <c r="M7" s="228">
        <v>1</v>
      </c>
      <c r="N7" s="229">
        <f>IF($L$4=1,$C$2*((1+$F$2)^(1/12)-1),$C$2*((1+$F$1)^(1/12)-1))</f>
        <v>47443.96467291523</v>
      </c>
      <c r="O7" s="242">
        <f t="shared" ref="O7:O18" si="2">IF($C$3="Balanced /Equity",N7*(1-E_DDT),N7*(1-D_DDT))</f>
        <v>32641.447694965675</v>
      </c>
      <c r="P7" s="316">
        <f>N7/(10*$F$6)</f>
        <v>9.4887929345830457E-3</v>
      </c>
      <c r="Q7" s="230">
        <f>10*(1+((1+$F$1)^(1/12)-1))</f>
        <v>10.09488792934583</v>
      </c>
      <c r="R7" s="230">
        <f>Q7-(P7*10)</f>
        <v>10</v>
      </c>
      <c r="S7" s="242">
        <f>N7-O7</f>
        <v>14802.516977949555</v>
      </c>
      <c r="T7" s="229">
        <f>$F$6*R7</f>
        <v>5000000</v>
      </c>
    </row>
    <row r="8" spans="2:26">
      <c r="B8" s="228">
        <v>2</v>
      </c>
      <c r="C8" s="229">
        <f t="shared" ref="C8:C18" si="3">IF(C7=0,0,IF((C7/D8)&gt;F7,IF(F7=0,0,F7*D8),$C$2*((1+$F$2)^(1/12)-1)))</f>
        <v>47443.96467291523</v>
      </c>
      <c r="D8" s="230">
        <f>D7*(1+((1+$F$1)^(1/12)-1))</f>
        <v>10.190676230605215</v>
      </c>
      <c r="E8" s="230">
        <f t="shared" ref="E8:E18" si="4">IF((C8/D8)&gt;F7,F7,(C8/D8))</f>
        <v>4655.6247690834134</v>
      </c>
      <c r="F8" s="231">
        <f t="shared" si="0"/>
        <v>490644.57420241821</v>
      </c>
      <c r="G8" s="230">
        <f t="shared" ref="G8:G18" si="5">E8*(D8-10)</f>
        <v>887.71698208109865</v>
      </c>
      <c r="H8" s="230"/>
      <c r="I8" s="230"/>
      <c r="J8" s="227">
        <f t="shared" ref="J8:J18" si="6">IF($C$3="Balanced /Equity",G8*15%,G8*$F$4)</f>
        <v>133.15754731216478</v>
      </c>
      <c r="K8" s="229">
        <f t="shared" si="1"/>
        <v>5000000</v>
      </c>
      <c r="L8" s="253"/>
      <c r="M8" s="228">
        <v>2</v>
      </c>
      <c r="N8" s="229">
        <f t="shared" ref="N8:N18" si="7">IF($L$4=1,$C$2*((1+$F$2)^(1/12)-1),$C$2*((1+$F$1)^(1/12)-1))</f>
        <v>47443.96467291523</v>
      </c>
      <c r="O8" s="242">
        <f t="shared" si="2"/>
        <v>32641.447694965675</v>
      </c>
      <c r="P8" s="316">
        <f t="shared" ref="P8:P18" si="8">N8/(10*$F$6)</f>
        <v>9.4887929345830457E-3</v>
      </c>
      <c r="Q8" s="230">
        <f t="shared" ref="Q8:Q18" si="9">10*(1+((1+$F$1)^(1/12)-1))</f>
        <v>10.09488792934583</v>
      </c>
      <c r="R8" s="230">
        <f t="shared" ref="R8:R18" si="10">Q8-(P8*10)</f>
        <v>10</v>
      </c>
      <c r="S8" s="242">
        <f t="shared" ref="S8:S18" si="11">N8-O8</f>
        <v>14802.516977949555</v>
      </c>
      <c r="T8" s="229">
        <f t="shared" ref="T8:T18" si="12">$F$6*R8</f>
        <v>5000000</v>
      </c>
    </row>
    <row r="9" spans="2:26">
      <c r="B9" s="223">
        <v>3</v>
      </c>
      <c r="C9" s="229">
        <f t="shared" si="3"/>
        <v>47443.96467291523</v>
      </c>
      <c r="D9" s="230">
        <f t="shared" ref="D9:D18" si="13">D8*(1+((1+$F$1)^(1/12)-1))</f>
        <v>10.287373447220805</v>
      </c>
      <c r="E9" s="230">
        <f t="shared" si="4"/>
        <v>4611.8637489273315</v>
      </c>
      <c r="F9" s="231">
        <f t="shared" si="0"/>
        <v>486032.7104534909</v>
      </c>
      <c r="G9" s="230">
        <f t="shared" si="5"/>
        <v>1325.3271836419121</v>
      </c>
      <c r="H9" s="230"/>
      <c r="I9" s="230"/>
      <c r="J9" s="227">
        <f t="shared" si="6"/>
        <v>198.79907754628681</v>
      </c>
      <c r="K9" s="229">
        <f t="shared" si="1"/>
        <v>5000000</v>
      </c>
      <c r="L9" s="253"/>
      <c r="M9" s="223">
        <v>3</v>
      </c>
      <c r="N9" s="229">
        <f t="shared" si="7"/>
        <v>47443.96467291523</v>
      </c>
      <c r="O9" s="242">
        <f t="shared" si="2"/>
        <v>32641.447694965675</v>
      </c>
      <c r="P9" s="316">
        <f t="shared" si="8"/>
        <v>9.4887929345830457E-3</v>
      </c>
      <c r="Q9" s="230">
        <f t="shared" si="9"/>
        <v>10.09488792934583</v>
      </c>
      <c r="R9" s="230">
        <f t="shared" si="10"/>
        <v>10</v>
      </c>
      <c r="S9" s="242">
        <f t="shared" si="11"/>
        <v>14802.516977949555</v>
      </c>
      <c r="T9" s="229">
        <f t="shared" si="12"/>
        <v>5000000</v>
      </c>
    </row>
    <row r="10" spans="2:26">
      <c r="B10" s="228">
        <v>4</v>
      </c>
      <c r="C10" s="229">
        <f t="shared" si="3"/>
        <v>47443.96467291523</v>
      </c>
      <c r="D10" s="230">
        <f t="shared" si="13"/>
        <v>10.384988203702211</v>
      </c>
      <c r="E10" s="230">
        <f t="shared" si="4"/>
        <v>4568.5140649463256</v>
      </c>
      <c r="F10" s="231">
        <f t="shared" si="0"/>
        <v>481464.19638854457</v>
      </c>
      <c r="G10" s="230">
        <f t="shared" si="5"/>
        <v>1758.8240234519699</v>
      </c>
      <c r="H10" s="230"/>
      <c r="I10" s="230"/>
      <c r="J10" s="227">
        <f t="shared" si="6"/>
        <v>263.82360351779545</v>
      </c>
      <c r="K10" s="229">
        <f t="shared" si="1"/>
        <v>5000000</v>
      </c>
      <c r="L10" s="253"/>
      <c r="M10" s="228">
        <v>4</v>
      </c>
      <c r="N10" s="229">
        <f t="shared" si="7"/>
        <v>47443.96467291523</v>
      </c>
      <c r="O10" s="242">
        <f t="shared" si="2"/>
        <v>32641.447694965675</v>
      </c>
      <c r="P10" s="316">
        <f t="shared" si="8"/>
        <v>9.4887929345830457E-3</v>
      </c>
      <c r="Q10" s="230">
        <f t="shared" si="9"/>
        <v>10.09488792934583</v>
      </c>
      <c r="R10" s="230">
        <f t="shared" si="10"/>
        <v>10</v>
      </c>
      <c r="S10" s="242">
        <f t="shared" si="11"/>
        <v>14802.516977949555</v>
      </c>
      <c r="T10" s="229">
        <f t="shared" si="12"/>
        <v>5000000</v>
      </c>
    </row>
    <row r="11" spans="2:26">
      <c r="B11" s="228">
        <v>5</v>
      </c>
      <c r="C11" s="229">
        <f t="shared" si="3"/>
        <v>47443.96467291523</v>
      </c>
      <c r="D11" s="230">
        <f t="shared" si="13"/>
        <v>10.483529206395229</v>
      </c>
      <c r="E11" s="230">
        <f t="shared" si="4"/>
        <v>4525.5718507440379</v>
      </c>
      <c r="F11" s="231">
        <f t="shared" si="0"/>
        <v>476938.62453780056</v>
      </c>
      <c r="G11" s="230">
        <f t="shared" si="5"/>
        <v>2188.2461654748513</v>
      </c>
      <c r="H11" s="230"/>
      <c r="I11" s="230"/>
      <c r="J11" s="227">
        <f t="shared" si="6"/>
        <v>328.23692482122766</v>
      </c>
      <c r="K11" s="229">
        <f t="shared" si="1"/>
        <v>5000000</v>
      </c>
      <c r="L11" s="253"/>
      <c r="M11" s="228">
        <v>5</v>
      </c>
      <c r="N11" s="229">
        <f t="shared" si="7"/>
        <v>47443.96467291523</v>
      </c>
      <c r="O11" s="242">
        <f t="shared" si="2"/>
        <v>32641.447694965675</v>
      </c>
      <c r="P11" s="316">
        <f t="shared" si="8"/>
        <v>9.4887929345830457E-3</v>
      </c>
      <c r="Q11" s="230">
        <f t="shared" si="9"/>
        <v>10.09488792934583</v>
      </c>
      <c r="R11" s="230">
        <f t="shared" si="10"/>
        <v>10</v>
      </c>
      <c r="S11" s="242">
        <f t="shared" si="11"/>
        <v>14802.516977949555</v>
      </c>
      <c r="T11" s="229">
        <f t="shared" si="12"/>
        <v>5000000</v>
      </c>
    </row>
    <row r="12" spans="2:26">
      <c r="B12" s="223">
        <v>6</v>
      </c>
      <c r="C12" s="229">
        <f t="shared" si="3"/>
        <v>47443.96467291523</v>
      </c>
      <c r="D12" s="230">
        <f t="shared" si="13"/>
        <v>10.583005244258366</v>
      </c>
      <c r="E12" s="230">
        <f t="shared" si="4"/>
        <v>4483.0332762666976</v>
      </c>
      <c r="F12" s="231">
        <f t="shared" si="0"/>
        <v>472455.59126153385</v>
      </c>
      <c r="G12" s="230">
        <f t="shared" si="5"/>
        <v>2613.6319102482507</v>
      </c>
      <c r="H12" s="230"/>
      <c r="I12" s="230"/>
      <c r="J12" s="227">
        <f t="shared" si="6"/>
        <v>392.0447865372376</v>
      </c>
      <c r="K12" s="229">
        <f t="shared" si="1"/>
        <v>5000000</v>
      </c>
      <c r="L12" s="253"/>
      <c r="M12" s="223">
        <v>6</v>
      </c>
      <c r="N12" s="229">
        <f t="shared" si="7"/>
        <v>47443.96467291523</v>
      </c>
      <c r="O12" s="242">
        <f t="shared" si="2"/>
        <v>32641.447694965675</v>
      </c>
      <c r="P12" s="316">
        <f t="shared" si="8"/>
        <v>9.4887929345830457E-3</v>
      </c>
      <c r="Q12" s="230">
        <f t="shared" si="9"/>
        <v>10.09488792934583</v>
      </c>
      <c r="R12" s="230">
        <f t="shared" si="10"/>
        <v>10</v>
      </c>
      <c r="S12" s="242">
        <f t="shared" si="11"/>
        <v>14802.516977949555</v>
      </c>
      <c r="T12" s="229">
        <f t="shared" si="12"/>
        <v>5000000</v>
      </c>
    </row>
    <row r="13" spans="2:26">
      <c r="B13" s="228">
        <v>7</v>
      </c>
      <c r="C13" s="229">
        <f t="shared" si="3"/>
        <v>47443.96467291523</v>
      </c>
      <c r="D13" s="230">
        <f t="shared" si="13"/>
        <v>10.683425189646741</v>
      </c>
      <c r="E13" s="230">
        <f t="shared" si="4"/>
        <v>4440.8945474615166</v>
      </c>
      <c r="F13" s="231">
        <f t="shared" si="0"/>
        <v>468014.69671407231</v>
      </c>
      <c r="G13" s="230">
        <f t="shared" si="5"/>
        <v>3035.0191983000636</v>
      </c>
      <c r="H13" s="230"/>
      <c r="I13" s="230"/>
      <c r="J13" s="227">
        <f t="shared" si="6"/>
        <v>455.25287974500952</v>
      </c>
      <c r="K13" s="229">
        <f t="shared" si="1"/>
        <v>5000000</v>
      </c>
      <c r="L13" s="253"/>
      <c r="M13" s="228">
        <v>7</v>
      </c>
      <c r="N13" s="229">
        <f t="shared" si="7"/>
        <v>47443.96467291523</v>
      </c>
      <c r="O13" s="242">
        <f t="shared" si="2"/>
        <v>32641.447694965675</v>
      </c>
      <c r="P13" s="316">
        <f t="shared" si="8"/>
        <v>9.4887929345830457E-3</v>
      </c>
      <c r="Q13" s="230">
        <f t="shared" si="9"/>
        <v>10.09488792934583</v>
      </c>
      <c r="R13" s="230">
        <f t="shared" si="10"/>
        <v>10</v>
      </c>
      <c r="S13" s="242">
        <f t="shared" si="11"/>
        <v>14802.516977949555</v>
      </c>
      <c r="T13" s="229">
        <f t="shared" si="12"/>
        <v>5000000</v>
      </c>
    </row>
    <row r="14" spans="2:26">
      <c r="B14" s="228">
        <v>8</v>
      </c>
      <c r="C14" s="229">
        <f t="shared" si="3"/>
        <v>47443.96467291523</v>
      </c>
      <c r="D14" s="230">
        <f t="shared" si="13"/>
        <v>10.784797999103407</v>
      </c>
      <c r="E14" s="230">
        <f t="shared" si="4"/>
        <v>4399.1519059382917</v>
      </c>
      <c r="F14" s="231">
        <f t="shared" si="0"/>
        <v>463615.54480813403</v>
      </c>
      <c r="G14" s="230">
        <f t="shared" si="5"/>
        <v>3452.4456135323121</v>
      </c>
      <c r="H14" s="230"/>
      <c r="I14" s="230"/>
      <c r="J14" s="227">
        <f t="shared" si="6"/>
        <v>517.86684202984679</v>
      </c>
      <c r="K14" s="229">
        <f t="shared" si="1"/>
        <v>5000000</v>
      </c>
      <c r="L14" s="253"/>
      <c r="M14" s="228">
        <v>8</v>
      </c>
      <c r="N14" s="229">
        <f t="shared" si="7"/>
        <v>47443.96467291523</v>
      </c>
      <c r="O14" s="242">
        <f t="shared" si="2"/>
        <v>32641.447694965675</v>
      </c>
      <c r="P14" s="316">
        <f t="shared" si="8"/>
        <v>9.4887929345830457E-3</v>
      </c>
      <c r="Q14" s="230">
        <f t="shared" si="9"/>
        <v>10.09488792934583</v>
      </c>
      <c r="R14" s="230">
        <f t="shared" si="10"/>
        <v>10</v>
      </c>
      <c r="S14" s="242">
        <f t="shared" si="11"/>
        <v>14802.516977949555</v>
      </c>
      <c r="T14" s="229">
        <f t="shared" si="12"/>
        <v>5000000</v>
      </c>
    </row>
    <row r="15" spans="2:26">
      <c r="B15" s="223">
        <v>9</v>
      </c>
      <c r="C15" s="229">
        <f t="shared" si="3"/>
        <v>47443.96467291523</v>
      </c>
      <c r="D15" s="230">
        <f t="shared" si="13"/>
        <v>10.887132714158206</v>
      </c>
      <c r="E15" s="230">
        <f t="shared" si="4"/>
        <v>4357.8016286341926</v>
      </c>
      <c r="F15" s="231">
        <f t="shared" si="0"/>
        <v>459257.74317949981</v>
      </c>
      <c r="G15" s="230">
        <f t="shared" si="5"/>
        <v>3865.9483865733005</v>
      </c>
      <c r="H15" s="230"/>
      <c r="I15" s="230"/>
      <c r="J15" s="227">
        <f t="shared" si="6"/>
        <v>579.892257985995</v>
      </c>
      <c r="K15" s="229">
        <f t="shared" si="1"/>
        <v>5000000</v>
      </c>
      <c r="L15" s="253"/>
      <c r="M15" s="223">
        <v>9</v>
      </c>
      <c r="N15" s="229">
        <f t="shared" si="7"/>
        <v>47443.96467291523</v>
      </c>
      <c r="O15" s="242">
        <f t="shared" si="2"/>
        <v>32641.447694965675</v>
      </c>
      <c r="P15" s="316">
        <f t="shared" si="8"/>
        <v>9.4887929345830457E-3</v>
      </c>
      <c r="Q15" s="230">
        <f t="shared" si="9"/>
        <v>10.09488792934583</v>
      </c>
      <c r="R15" s="230">
        <f t="shared" si="10"/>
        <v>10</v>
      </c>
      <c r="S15" s="242">
        <f t="shared" si="11"/>
        <v>14802.516977949555</v>
      </c>
      <c r="T15" s="229">
        <f t="shared" si="12"/>
        <v>5000000</v>
      </c>
    </row>
    <row r="16" spans="2:26">
      <c r="B16" s="228">
        <v>10</v>
      </c>
      <c r="C16" s="229">
        <f t="shared" si="3"/>
        <v>47443.96467291523</v>
      </c>
      <c r="D16" s="230">
        <f t="shared" si="13"/>
        <v>10.990438462134177</v>
      </c>
      <c r="E16" s="230">
        <f t="shared" si="4"/>
        <v>4316.8400274816995</v>
      </c>
      <c r="F16" s="231">
        <f t="shared" si="0"/>
        <v>454940.90315201809</v>
      </c>
      <c r="G16" s="230">
        <f t="shared" si="5"/>
        <v>4275.5643980982341</v>
      </c>
      <c r="H16" s="230"/>
      <c r="I16" s="230"/>
      <c r="J16" s="227">
        <f t="shared" si="6"/>
        <v>641.33465971473504</v>
      </c>
      <c r="K16" s="229">
        <f t="shared" si="1"/>
        <v>4999999.9999999991</v>
      </c>
      <c r="L16" s="253"/>
      <c r="M16" s="228">
        <v>10</v>
      </c>
      <c r="N16" s="229">
        <f t="shared" si="7"/>
        <v>47443.96467291523</v>
      </c>
      <c r="O16" s="242">
        <f t="shared" si="2"/>
        <v>32641.447694965675</v>
      </c>
      <c r="P16" s="316">
        <f t="shared" si="8"/>
        <v>9.4887929345830457E-3</v>
      </c>
      <c r="Q16" s="230">
        <f t="shared" si="9"/>
        <v>10.09488792934583</v>
      </c>
      <c r="R16" s="230">
        <f t="shared" si="10"/>
        <v>10</v>
      </c>
      <c r="S16" s="242">
        <f t="shared" si="11"/>
        <v>14802.516977949555</v>
      </c>
      <c r="T16" s="229">
        <f t="shared" si="12"/>
        <v>5000000</v>
      </c>
    </row>
    <row r="17" spans="2:20">
      <c r="B17" s="228">
        <v>11</v>
      </c>
      <c r="C17" s="229">
        <f t="shared" si="3"/>
        <v>47443.96467291523</v>
      </c>
      <c r="D17" s="230">
        <f t="shared" si="13"/>
        <v>11.094724456961647</v>
      </c>
      <c r="E17" s="230">
        <f t="shared" si="4"/>
        <v>4276.2634490796563</v>
      </c>
      <c r="F17" s="231">
        <f t="shared" si="0"/>
        <v>450664.63970293844</v>
      </c>
      <c r="G17" s="230">
        <f t="shared" si="5"/>
        <v>4681.3301821186642</v>
      </c>
      <c r="H17" s="230"/>
      <c r="I17" s="230"/>
      <c r="J17" s="227">
        <f t="shared" si="6"/>
        <v>702.19952731779961</v>
      </c>
      <c r="K17" s="229">
        <f t="shared" si="1"/>
        <v>5000000</v>
      </c>
      <c r="L17" s="253"/>
      <c r="M17" s="228">
        <v>11</v>
      </c>
      <c r="N17" s="229">
        <f t="shared" si="7"/>
        <v>47443.96467291523</v>
      </c>
      <c r="O17" s="242">
        <f t="shared" si="2"/>
        <v>32641.447694965675</v>
      </c>
      <c r="P17" s="316">
        <f t="shared" si="8"/>
        <v>9.4887929345830457E-3</v>
      </c>
      <c r="Q17" s="230">
        <f t="shared" si="9"/>
        <v>10.09488792934583</v>
      </c>
      <c r="R17" s="230">
        <f t="shared" si="10"/>
        <v>10</v>
      </c>
      <c r="S17" s="242">
        <f t="shared" si="11"/>
        <v>14802.516977949555</v>
      </c>
      <c r="T17" s="229">
        <f t="shared" si="12"/>
        <v>5000000</v>
      </c>
    </row>
    <row r="18" spans="2:20">
      <c r="B18" s="223">
        <v>12</v>
      </c>
      <c r="C18" s="229">
        <f t="shared" si="3"/>
        <v>47443.96467291523</v>
      </c>
      <c r="D18" s="230">
        <f t="shared" si="13"/>
        <v>11.20000000000001</v>
      </c>
      <c r="E18" s="230">
        <f t="shared" si="4"/>
        <v>4236.0682743674279</v>
      </c>
      <c r="F18" s="232">
        <f t="shared" si="0"/>
        <v>446428.57142857101</v>
      </c>
      <c r="G18" s="233">
        <f t="shared" si="5"/>
        <v>5083.2819292409558</v>
      </c>
      <c r="H18" s="233"/>
      <c r="I18" s="233"/>
      <c r="J18" s="227">
        <f t="shared" si="6"/>
        <v>762.4922893861434</v>
      </c>
      <c r="K18" s="254">
        <f t="shared" si="1"/>
        <v>5000000</v>
      </c>
      <c r="L18" s="253"/>
      <c r="M18" s="223">
        <v>12</v>
      </c>
      <c r="N18" s="229">
        <f t="shared" si="7"/>
        <v>47443.96467291523</v>
      </c>
      <c r="O18" s="242">
        <f t="shared" si="2"/>
        <v>32641.447694965675</v>
      </c>
      <c r="P18" s="316">
        <f t="shared" si="8"/>
        <v>9.4887929345830457E-3</v>
      </c>
      <c r="Q18" s="230">
        <f t="shared" si="9"/>
        <v>10.09488792934583</v>
      </c>
      <c r="R18" s="230">
        <f t="shared" si="10"/>
        <v>10</v>
      </c>
      <c r="S18" s="242">
        <f t="shared" si="11"/>
        <v>14802.516977949555</v>
      </c>
      <c r="T18" s="229">
        <f t="shared" si="12"/>
        <v>5000000</v>
      </c>
    </row>
    <row r="19" spans="2:20">
      <c r="B19" s="234" t="s">
        <v>386</v>
      </c>
      <c r="C19" s="235">
        <f>SUM(C7:C18)</f>
        <v>569327.57607498276</v>
      </c>
      <c r="D19" s="236"/>
      <c r="E19" s="237"/>
      <c r="F19" s="238"/>
      <c r="G19" s="237"/>
      <c r="H19" s="237"/>
      <c r="I19" s="237"/>
      <c r="J19" s="255">
        <f>SUM(J7:J18)</f>
        <v>5041.993554103984</v>
      </c>
      <c r="K19" s="256"/>
      <c r="L19" s="257"/>
      <c r="M19" s="234" t="s">
        <v>386</v>
      </c>
      <c r="N19" s="235">
        <f>SUM(N7:N18)</f>
        <v>569327.57607498276</v>
      </c>
      <c r="O19" s="236"/>
      <c r="P19" s="317">
        <f>SUM(P7:P18)</f>
        <v>0.11386551521499655</v>
      </c>
      <c r="Q19" s="238"/>
      <c r="R19" s="237"/>
      <c r="S19" s="258">
        <f>SUM(S7:S18)</f>
        <v>177630.20373539472</v>
      </c>
      <c r="T19" s="256"/>
    </row>
    <row r="20" spans="2:20">
      <c r="B20" s="239" t="s">
        <v>387</v>
      </c>
      <c r="C20" s="240">
        <f>C19-J19</f>
        <v>564285.58252087876</v>
      </c>
      <c r="D20" s="241"/>
      <c r="E20" s="241"/>
      <c r="F20" s="241"/>
      <c r="G20" s="241"/>
      <c r="H20" s="241"/>
      <c r="I20" s="241"/>
      <c r="J20" s="260">
        <f>IFERROR(J19/C19,0)</f>
        <v>8.8560501299869109E-3</v>
      </c>
      <c r="K20" s="261"/>
      <c r="L20" s="262"/>
      <c r="M20" s="239" t="s">
        <v>387</v>
      </c>
      <c r="N20" s="240">
        <f>N19-S19</f>
        <v>391697.37233958801</v>
      </c>
      <c r="O20" s="241"/>
      <c r="P20" s="241"/>
      <c r="Q20" s="241"/>
      <c r="R20" s="241"/>
      <c r="S20" s="263">
        <f>IFERROR(S19/N19,0)</f>
        <v>0.31200000000000017</v>
      </c>
      <c r="T20" s="318"/>
    </row>
    <row r="21" spans="2:20">
      <c r="B21" s="223">
        <v>13</v>
      </c>
      <c r="C21" s="229">
        <f>IF(C18=0,0,IF((C18/D21)&gt;F18,IF(F18=0,0,F18*D21),$C$2*((1+$F$2)^(1/12)-1)))</f>
        <v>47443.96467291523</v>
      </c>
      <c r="D21" s="230">
        <f>D18*(1+((1+$F$1)^(1/12)-1))</f>
        <v>11.306274480867341</v>
      </c>
      <c r="E21" s="230">
        <f>IF((C21/D21)&gt;F18,F18,(C21/D21))</f>
        <v>4196.2509183021048</v>
      </c>
      <c r="F21" s="232">
        <f>F18-E21</f>
        <v>442232.32051026891</v>
      </c>
      <c r="G21" s="230">
        <f>IF($C$3="Debt Fund",E21*(D21-10),0)</f>
        <v>0</v>
      </c>
      <c r="H21" s="230">
        <f>IF($C$3="Balanced /Equity",E21*(D21-10),0)</f>
        <v>5481.4554898941842</v>
      </c>
      <c r="I21" s="252"/>
      <c r="J21" s="227">
        <f>IF($C$3="Balanced /Equity",H21*10.4%,G21*$F$4)</f>
        <v>570.0713709489952</v>
      </c>
      <c r="K21" s="229">
        <f t="shared" ref="K21:K32" si="14">D21*F21</f>
        <v>5000000</v>
      </c>
      <c r="M21" s="223">
        <v>13</v>
      </c>
      <c r="N21" s="229">
        <f t="shared" ref="N21:N32" si="15">IF($L$4=1,$C$2*((1+$F$2)^(1/12)-1),$C$2*((1+$F$1)^(1/12)-1))</f>
        <v>47443.96467291523</v>
      </c>
      <c r="O21" s="242">
        <f t="shared" ref="O21:O32" si="16">IF($C$3="Balanced /Equity",N21*(1-E_DDT),N21*(1-D_DDT))</f>
        <v>32641.447694965675</v>
      </c>
      <c r="P21" s="316">
        <f>N21/(10*$F$6)</f>
        <v>9.4887929345830457E-3</v>
      </c>
      <c r="Q21" s="230">
        <f>10*(1+((1+$F$1)^(1/12)-1))</f>
        <v>10.09488792934583</v>
      </c>
      <c r="R21" s="230">
        <f>Q21-(P21*10)</f>
        <v>10</v>
      </c>
      <c r="S21" s="242">
        <f>N21-O21</f>
        <v>14802.516977949555</v>
      </c>
      <c r="T21" s="229">
        <f>$F$6*R21</f>
        <v>5000000</v>
      </c>
    </row>
    <row r="22" spans="2:20">
      <c r="B22" s="223">
        <v>14</v>
      </c>
      <c r="C22" s="229">
        <f>IF(C21=0,0,IF((C21/D22)&gt;F21,IF(F21=0,0,F21*D22),$C$2*((1+$F$2)^(1/12)-1)))</f>
        <v>47443.96467291523</v>
      </c>
      <c r="D22" s="230">
        <f>D21*(1+((1+$F$1)^(1/12)-1))</f>
        <v>11.413557378277851</v>
      </c>
      <c r="E22" s="230">
        <f t="shared" ref="E22:E32" si="17">IF((C22/D22)&gt;F21,F21,(C22/D22))</f>
        <v>4156.8078295387577</v>
      </c>
      <c r="F22" s="232">
        <f>F21-E22</f>
        <v>438075.51268073014</v>
      </c>
      <c r="G22" s="230">
        <f t="shared" ref="G22:G32" si="18">IF($C$3="Debt Fund",E22*(D22-10),0)</f>
        <v>0</v>
      </c>
      <c r="H22" s="230">
        <f t="shared" ref="H22:H32" si="19">IF($C$3="Balanced /Equity",E22*(D22-10),0)</f>
        <v>5875.8863775276495</v>
      </c>
      <c r="I22" s="252"/>
      <c r="J22" s="227">
        <f t="shared" ref="J22:J32" si="20">IF($C$3="Balanced /Equity",H22*10.4%,G22*$F$4)</f>
        <v>611.09218326287555</v>
      </c>
      <c r="K22" s="229">
        <f t="shared" si="14"/>
        <v>5000000</v>
      </c>
      <c r="M22" s="223">
        <v>14</v>
      </c>
      <c r="N22" s="229">
        <f t="shared" si="15"/>
        <v>47443.96467291523</v>
      </c>
      <c r="O22" s="242">
        <f t="shared" si="16"/>
        <v>32641.447694965675</v>
      </c>
      <c r="P22" s="316">
        <f t="shared" ref="P22:P32" si="21">N22/(10*$F$6)</f>
        <v>9.4887929345830457E-3</v>
      </c>
      <c r="Q22" s="230">
        <f t="shared" ref="Q22:Q32" si="22">10*(1+((1+$F$1)^(1/12)-1))</f>
        <v>10.09488792934583</v>
      </c>
      <c r="R22" s="230">
        <f t="shared" ref="R22:R32" si="23">Q22-(P22*10)</f>
        <v>10</v>
      </c>
      <c r="S22" s="242">
        <f t="shared" ref="S22:S32" si="24">N22-O22</f>
        <v>14802.516977949555</v>
      </c>
      <c r="T22" s="229">
        <f t="shared" ref="T22:T32" si="25">$F$6*R22</f>
        <v>5000000</v>
      </c>
    </row>
    <row r="23" spans="2:20">
      <c r="B23" s="223">
        <v>15</v>
      </c>
      <c r="C23" s="229">
        <f>IF(C22=0,0,IF((C22/D23)&gt;F22,IF(F22=0,0,F22*D23),$C$2*((1+$F$2)^(1/12)-1)))</f>
        <v>47443.96467291523</v>
      </c>
      <c r="D23" s="230">
        <f t="shared" ref="D23:D32" si="26">D22*(1+((1+$F$1)^(1/12)-1))</f>
        <v>11.521858260887312</v>
      </c>
      <c r="E23" s="230">
        <f t="shared" si="17"/>
        <v>4117.735490113685</v>
      </c>
      <c r="F23" s="232">
        <f t="shared" ref="F23:F32" si="27">F22-E23</f>
        <v>433957.77719061647</v>
      </c>
      <c r="G23" s="230">
        <f t="shared" si="18"/>
        <v>0</v>
      </c>
      <c r="H23" s="230">
        <f t="shared" si="19"/>
        <v>6266.609771778375</v>
      </c>
      <c r="I23" s="252"/>
      <c r="J23" s="227">
        <f t="shared" si="20"/>
        <v>651.7274162649511</v>
      </c>
      <c r="K23" s="229">
        <f t="shared" si="14"/>
        <v>5000000</v>
      </c>
      <c r="M23" s="223">
        <v>15</v>
      </c>
      <c r="N23" s="229">
        <f t="shared" si="15"/>
        <v>47443.96467291523</v>
      </c>
      <c r="O23" s="242">
        <f t="shared" si="16"/>
        <v>32641.447694965675</v>
      </c>
      <c r="P23" s="316">
        <f t="shared" si="21"/>
        <v>9.4887929345830457E-3</v>
      </c>
      <c r="Q23" s="230">
        <f t="shared" si="22"/>
        <v>10.09488792934583</v>
      </c>
      <c r="R23" s="230">
        <f t="shared" si="23"/>
        <v>10</v>
      </c>
      <c r="S23" s="242">
        <f t="shared" si="24"/>
        <v>14802.516977949555</v>
      </c>
      <c r="T23" s="229">
        <f t="shared" si="25"/>
        <v>5000000</v>
      </c>
    </row>
    <row r="24" spans="2:20">
      <c r="B24" s="223">
        <v>16</v>
      </c>
      <c r="C24" s="229">
        <f>IF(C23=0,0,IF((C23/D24)&gt;F23,IF(F23=0,0,F23*D24),$C$2*((1+$F$2)^(1/12)-1)))</f>
        <v>47443.96467291523</v>
      </c>
      <c r="D24" s="230">
        <f t="shared" si="26"/>
        <v>11.631186788146486</v>
      </c>
      <c r="E24" s="230">
        <f t="shared" si="17"/>
        <v>4079.0304151306445</v>
      </c>
      <c r="F24" s="232">
        <f t="shared" si="27"/>
        <v>429878.74677548581</v>
      </c>
      <c r="G24" s="230">
        <f t="shared" si="18"/>
        <v>0</v>
      </c>
      <c r="H24" s="230">
        <f t="shared" si="19"/>
        <v>6653.6605216087846</v>
      </c>
      <c r="I24" s="252"/>
      <c r="J24" s="227">
        <f t="shared" si="20"/>
        <v>691.98069424731364</v>
      </c>
      <c r="K24" s="229">
        <f t="shared" si="14"/>
        <v>4999999.9999999991</v>
      </c>
      <c r="M24" s="223">
        <v>16</v>
      </c>
      <c r="N24" s="229">
        <f t="shared" si="15"/>
        <v>47443.96467291523</v>
      </c>
      <c r="O24" s="242">
        <f t="shared" si="16"/>
        <v>32641.447694965675</v>
      </c>
      <c r="P24" s="316">
        <f t="shared" si="21"/>
        <v>9.4887929345830457E-3</v>
      </c>
      <c r="Q24" s="230">
        <f t="shared" si="22"/>
        <v>10.09488792934583</v>
      </c>
      <c r="R24" s="230">
        <f t="shared" si="23"/>
        <v>10</v>
      </c>
      <c r="S24" s="242">
        <f t="shared" si="24"/>
        <v>14802.516977949555</v>
      </c>
      <c r="T24" s="229">
        <f t="shared" si="25"/>
        <v>5000000</v>
      </c>
    </row>
    <row r="25" spans="2:20">
      <c r="B25" s="223">
        <v>17</v>
      </c>
      <c r="C25" s="229">
        <f t="shared" ref="C25:C32" si="28">IF(C24=0,0,IF((C24/D25)&gt;F24,IF(F24=0,0,F24*D25),$C$2*((1+$F$2)^(1/12)-1)))</f>
        <v>47443.96467291523</v>
      </c>
      <c r="D25" s="230">
        <f t="shared" si="26"/>
        <v>11.741552711162667</v>
      </c>
      <c r="E25" s="230">
        <f t="shared" si="17"/>
        <v>4040.6891524500302</v>
      </c>
      <c r="F25" s="232">
        <f t="shared" si="27"/>
        <v>425838.0576230358</v>
      </c>
      <c r="G25" s="230">
        <f t="shared" si="18"/>
        <v>0</v>
      </c>
      <c r="H25" s="230">
        <f t="shared" si="19"/>
        <v>7037.0731484149292</v>
      </c>
      <c r="I25" s="252"/>
      <c r="J25" s="227">
        <f t="shared" si="20"/>
        <v>731.85560743515271</v>
      </c>
      <c r="K25" s="229">
        <f t="shared" si="14"/>
        <v>5000000</v>
      </c>
      <c r="M25" s="223">
        <v>17</v>
      </c>
      <c r="N25" s="229">
        <f t="shared" si="15"/>
        <v>47443.96467291523</v>
      </c>
      <c r="O25" s="242">
        <f t="shared" si="16"/>
        <v>32641.447694965675</v>
      </c>
      <c r="P25" s="316">
        <f t="shared" si="21"/>
        <v>9.4887929345830457E-3</v>
      </c>
      <c r="Q25" s="230">
        <f t="shared" si="22"/>
        <v>10.09488792934583</v>
      </c>
      <c r="R25" s="230">
        <f t="shared" si="23"/>
        <v>10</v>
      </c>
      <c r="S25" s="242">
        <f t="shared" si="24"/>
        <v>14802.516977949555</v>
      </c>
      <c r="T25" s="229">
        <f t="shared" si="25"/>
        <v>5000000</v>
      </c>
    </row>
    <row r="26" spans="2:20">
      <c r="B26" s="223">
        <v>18</v>
      </c>
      <c r="C26" s="229">
        <f t="shared" si="28"/>
        <v>47443.96467291523</v>
      </c>
      <c r="D26" s="230">
        <f t="shared" si="26"/>
        <v>11.852965873569381</v>
      </c>
      <c r="E26" s="230">
        <f t="shared" si="17"/>
        <v>4002.7082823809765</v>
      </c>
      <c r="F26" s="232">
        <f t="shared" si="27"/>
        <v>421835.34934065479</v>
      </c>
      <c r="G26" s="230">
        <f t="shared" si="18"/>
        <v>0</v>
      </c>
      <c r="H26" s="230">
        <f t="shared" si="19"/>
        <v>7416.8818491054644</v>
      </c>
      <c r="I26" s="252"/>
      <c r="J26" s="227">
        <f t="shared" si="20"/>
        <v>771.35571230696837</v>
      </c>
      <c r="K26" s="229">
        <f t="shared" si="14"/>
        <v>5000000</v>
      </c>
      <c r="M26" s="223">
        <v>18</v>
      </c>
      <c r="N26" s="229">
        <f t="shared" si="15"/>
        <v>47443.96467291523</v>
      </c>
      <c r="O26" s="242">
        <f t="shared" si="16"/>
        <v>32641.447694965675</v>
      </c>
      <c r="P26" s="316">
        <f t="shared" si="21"/>
        <v>9.4887929345830457E-3</v>
      </c>
      <c r="Q26" s="230">
        <f t="shared" si="22"/>
        <v>10.09488792934583</v>
      </c>
      <c r="R26" s="230">
        <f t="shared" si="23"/>
        <v>10</v>
      </c>
      <c r="S26" s="242">
        <f t="shared" si="24"/>
        <v>14802.516977949555</v>
      </c>
      <c r="T26" s="229">
        <f t="shared" si="25"/>
        <v>5000000</v>
      </c>
    </row>
    <row r="27" spans="2:20">
      <c r="B27" s="223">
        <v>19</v>
      </c>
      <c r="C27" s="229">
        <f t="shared" si="28"/>
        <v>47443.96467291523</v>
      </c>
      <c r="D27" s="230">
        <f t="shared" si="26"/>
        <v>11.965436212404361</v>
      </c>
      <c r="E27" s="230">
        <f t="shared" si="17"/>
        <v>3965.0844173763503</v>
      </c>
      <c r="F27" s="232">
        <f t="shared" si="27"/>
        <v>417870.26492327842</v>
      </c>
      <c r="G27" s="230">
        <f t="shared" si="18"/>
        <v>0</v>
      </c>
      <c r="H27" s="230">
        <f t="shared" si="19"/>
        <v>7793.120499151727</v>
      </c>
      <c r="I27" s="252"/>
      <c r="J27" s="227">
        <f t="shared" si="20"/>
        <v>810.48453191177964</v>
      </c>
      <c r="K27" s="229">
        <f t="shared" si="14"/>
        <v>4999999.9999999991</v>
      </c>
      <c r="M27" s="223">
        <v>19</v>
      </c>
      <c r="N27" s="229">
        <f t="shared" si="15"/>
        <v>47443.96467291523</v>
      </c>
      <c r="O27" s="242">
        <f t="shared" si="16"/>
        <v>32641.447694965675</v>
      </c>
      <c r="P27" s="316">
        <f t="shared" si="21"/>
        <v>9.4887929345830457E-3</v>
      </c>
      <c r="Q27" s="230">
        <f t="shared" si="22"/>
        <v>10.09488792934583</v>
      </c>
      <c r="R27" s="230">
        <f t="shared" si="23"/>
        <v>10</v>
      </c>
      <c r="S27" s="242">
        <f t="shared" si="24"/>
        <v>14802.516977949555</v>
      </c>
      <c r="T27" s="229">
        <f t="shared" si="25"/>
        <v>5000000</v>
      </c>
    </row>
    <row r="28" spans="2:20">
      <c r="B28" s="223">
        <v>20</v>
      </c>
      <c r="C28" s="229">
        <f t="shared" si="28"/>
        <v>47443.96467291523</v>
      </c>
      <c r="D28" s="230">
        <f t="shared" si="26"/>
        <v>12.078973758995827</v>
      </c>
      <c r="E28" s="230">
        <f t="shared" si="17"/>
        <v>3927.8142017306141</v>
      </c>
      <c r="F28" s="232">
        <f t="shared" si="27"/>
        <v>413942.45072154782</v>
      </c>
      <c r="G28" s="230">
        <f t="shared" si="18"/>
        <v>0</v>
      </c>
      <c r="H28" s="230">
        <f t="shared" si="19"/>
        <v>8165.8226556090904</v>
      </c>
      <c r="I28" s="252"/>
      <c r="J28" s="227">
        <f t="shared" si="20"/>
        <v>849.24555618334546</v>
      </c>
      <c r="K28" s="229">
        <f t="shared" si="14"/>
        <v>5000000</v>
      </c>
      <c r="M28" s="223">
        <v>20</v>
      </c>
      <c r="N28" s="229">
        <f t="shared" si="15"/>
        <v>47443.96467291523</v>
      </c>
      <c r="O28" s="242">
        <f t="shared" si="16"/>
        <v>32641.447694965675</v>
      </c>
      <c r="P28" s="316">
        <f t="shared" si="21"/>
        <v>9.4887929345830457E-3</v>
      </c>
      <c r="Q28" s="230">
        <f t="shared" si="22"/>
        <v>10.09488792934583</v>
      </c>
      <c r="R28" s="230">
        <f t="shared" si="23"/>
        <v>10</v>
      </c>
      <c r="S28" s="242">
        <f t="shared" si="24"/>
        <v>14802.516977949555</v>
      </c>
      <c r="T28" s="229">
        <f t="shared" si="25"/>
        <v>5000000</v>
      </c>
    </row>
    <row r="29" spans="2:20">
      <c r="B29" s="223">
        <v>21</v>
      </c>
      <c r="C29" s="229">
        <f t="shared" si="28"/>
        <v>47443.96467291523</v>
      </c>
      <c r="D29" s="230">
        <f t="shared" si="26"/>
        <v>12.193588639857202</v>
      </c>
      <c r="E29" s="230">
        <f t="shared" si="17"/>
        <v>3890.8943112805259</v>
      </c>
      <c r="F29" s="232">
        <f t="shared" si="27"/>
        <v>410051.55641026731</v>
      </c>
      <c r="G29" s="230">
        <f t="shared" si="18"/>
        <v>0</v>
      </c>
      <c r="H29" s="230">
        <f t="shared" si="19"/>
        <v>8535.0215601099735</v>
      </c>
      <c r="I29" s="252"/>
      <c r="J29" s="227">
        <f t="shared" si="20"/>
        <v>887.64224225143732</v>
      </c>
      <c r="K29" s="229">
        <f t="shared" si="14"/>
        <v>5000000</v>
      </c>
      <c r="M29" s="223">
        <v>21</v>
      </c>
      <c r="N29" s="229">
        <f t="shared" si="15"/>
        <v>47443.96467291523</v>
      </c>
      <c r="O29" s="242">
        <f t="shared" si="16"/>
        <v>32641.447694965675</v>
      </c>
      <c r="P29" s="316">
        <f t="shared" si="21"/>
        <v>9.4887929345830457E-3</v>
      </c>
      <c r="Q29" s="230">
        <f t="shared" si="22"/>
        <v>10.09488792934583</v>
      </c>
      <c r="R29" s="230">
        <f t="shared" si="23"/>
        <v>10</v>
      </c>
      <c r="S29" s="242">
        <f t="shared" si="24"/>
        <v>14802.516977949555</v>
      </c>
      <c r="T29" s="229">
        <f t="shared" si="25"/>
        <v>5000000</v>
      </c>
    </row>
    <row r="30" spans="2:20">
      <c r="B30" s="223">
        <v>22</v>
      </c>
      <c r="C30" s="229">
        <f t="shared" si="28"/>
        <v>47443.96467291523</v>
      </c>
      <c r="D30" s="230">
        <f t="shared" si="26"/>
        <v>12.309291077590292</v>
      </c>
      <c r="E30" s="230">
        <f t="shared" si="17"/>
        <v>3854.3214531086564</v>
      </c>
      <c r="F30" s="232">
        <f t="shared" si="27"/>
        <v>406197.23495715862</v>
      </c>
      <c r="G30" s="230">
        <f t="shared" si="18"/>
        <v>0</v>
      </c>
      <c r="H30" s="230">
        <f t="shared" si="19"/>
        <v>8900.7501418286683</v>
      </c>
      <c r="I30" s="252"/>
      <c r="J30" s="227">
        <f t="shared" si="20"/>
        <v>925.67801475018155</v>
      </c>
      <c r="K30" s="229">
        <f t="shared" si="14"/>
        <v>5000000</v>
      </c>
      <c r="M30" s="223">
        <v>22</v>
      </c>
      <c r="N30" s="229">
        <f t="shared" si="15"/>
        <v>47443.96467291523</v>
      </c>
      <c r="O30" s="242">
        <f t="shared" si="16"/>
        <v>32641.447694965675</v>
      </c>
      <c r="P30" s="316">
        <f t="shared" si="21"/>
        <v>9.4887929345830457E-3</v>
      </c>
      <c r="Q30" s="230">
        <f t="shared" si="22"/>
        <v>10.09488792934583</v>
      </c>
      <c r="R30" s="230">
        <f t="shared" si="23"/>
        <v>10</v>
      </c>
      <c r="S30" s="242">
        <f t="shared" si="24"/>
        <v>14802.516977949555</v>
      </c>
      <c r="T30" s="229">
        <f t="shared" si="25"/>
        <v>5000000</v>
      </c>
    </row>
    <row r="31" spans="2:20">
      <c r="B31" s="223">
        <v>23</v>
      </c>
      <c r="C31" s="229">
        <f t="shared" si="28"/>
        <v>47443.96467291523</v>
      </c>
      <c r="D31" s="230">
        <f t="shared" si="26"/>
        <v>12.426091391797057</v>
      </c>
      <c r="E31" s="230">
        <f t="shared" si="17"/>
        <v>3818.0923652496895</v>
      </c>
      <c r="F31" s="232">
        <f t="shared" si="27"/>
        <v>402379.14259190892</v>
      </c>
      <c r="G31" s="230">
        <f t="shared" si="18"/>
        <v>0</v>
      </c>
      <c r="H31" s="230">
        <f t="shared" si="19"/>
        <v>9263.0410204183354</v>
      </c>
      <c r="I31" s="252"/>
      <c r="J31" s="227">
        <f t="shared" si="20"/>
        <v>963.356266123507</v>
      </c>
      <c r="K31" s="229">
        <f t="shared" si="14"/>
        <v>5000000</v>
      </c>
      <c r="M31" s="223">
        <v>23</v>
      </c>
      <c r="N31" s="229">
        <f t="shared" si="15"/>
        <v>47443.96467291523</v>
      </c>
      <c r="O31" s="242">
        <f t="shared" si="16"/>
        <v>32641.447694965675</v>
      </c>
      <c r="P31" s="316">
        <f t="shared" si="21"/>
        <v>9.4887929345830457E-3</v>
      </c>
      <c r="Q31" s="230">
        <f t="shared" si="22"/>
        <v>10.09488792934583</v>
      </c>
      <c r="R31" s="230">
        <f t="shared" si="23"/>
        <v>10</v>
      </c>
      <c r="S31" s="242">
        <f t="shared" si="24"/>
        <v>14802.516977949555</v>
      </c>
      <c r="T31" s="229">
        <f t="shared" si="25"/>
        <v>5000000</v>
      </c>
    </row>
    <row r="32" spans="2:20">
      <c r="B32" s="223">
        <v>24</v>
      </c>
      <c r="C32" s="229">
        <f t="shared" si="28"/>
        <v>47443.96467291523</v>
      </c>
      <c r="D32" s="230">
        <f t="shared" si="26"/>
        <v>12.544000000000024</v>
      </c>
      <c r="E32" s="230">
        <f t="shared" si="17"/>
        <v>3782.2038163994853</v>
      </c>
      <c r="F32" s="227">
        <f t="shared" si="27"/>
        <v>398596.93877550942</v>
      </c>
      <c r="G32" s="230">
        <f t="shared" si="18"/>
        <v>0</v>
      </c>
      <c r="H32" s="230">
        <f t="shared" si="19"/>
        <v>9621.92650892038</v>
      </c>
      <c r="I32" s="252"/>
      <c r="J32" s="227">
        <f t="shared" si="20"/>
        <v>1000.6803569277196</v>
      </c>
      <c r="K32" s="229">
        <f t="shared" si="14"/>
        <v>5000000</v>
      </c>
      <c r="M32" s="223">
        <v>24</v>
      </c>
      <c r="N32" s="229">
        <f t="shared" si="15"/>
        <v>47443.96467291523</v>
      </c>
      <c r="O32" s="242">
        <f t="shared" si="16"/>
        <v>32641.447694965675</v>
      </c>
      <c r="P32" s="316">
        <f t="shared" si="21"/>
        <v>9.4887929345830457E-3</v>
      </c>
      <c r="Q32" s="230">
        <f t="shared" si="22"/>
        <v>10.09488792934583</v>
      </c>
      <c r="R32" s="230">
        <f t="shared" si="23"/>
        <v>10</v>
      </c>
      <c r="S32" s="242">
        <f t="shared" si="24"/>
        <v>14802.516977949555</v>
      </c>
      <c r="T32" s="229">
        <f t="shared" si="25"/>
        <v>5000000</v>
      </c>
    </row>
    <row r="33" spans="2:20">
      <c r="B33" s="234" t="s">
        <v>386</v>
      </c>
      <c r="C33" s="235">
        <f>SUM(C21:C32)</f>
        <v>569327.57607498276</v>
      </c>
      <c r="D33" s="236"/>
      <c r="E33" s="237"/>
      <c r="F33" s="238"/>
      <c r="G33" s="237"/>
      <c r="H33" s="237"/>
      <c r="I33" s="237"/>
      <c r="J33" s="255">
        <f>SUM(J21:J32)</f>
        <v>9465.1699526142274</v>
      </c>
      <c r="K33" s="256"/>
      <c r="M33" s="234" t="s">
        <v>386</v>
      </c>
      <c r="N33" s="235">
        <f>SUM(N21:N32)</f>
        <v>569327.57607498276</v>
      </c>
      <c r="O33" s="236"/>
      <c r="P33" s="317">
        <f>SUM(P21:P32)</f>
        <v>0.11386551521499655</v>
      </c>
      <c r="Q33" s="238"/>
      <c r="R33" s="237"/>
      <c r="S33" s="258">
        <f>SUM(S21:S32)</f>
        <v>177630.20373539472</v>
      </c>
      <c r="T33" s="256"/>
    </row>
    <row r="34" spans="2:20">
      <c r="B34" s="239" t="s">
        <v>387</v>
      </c>
      <c r="C34" s="240">
        <f>C33-J33</f>
        <v>559862.40612236853</v>
      </c>
      <c r="D34" s="241"/>
      <c r="E34" s="241"/>
      <c r="F34" s="241"/>
      <c r="G34" s="241"/>
      <c r="H34" s="241"/>
      <c r="I34" s="241"/>
      <c r="J34" s="260">
        <f>IFERROR(J33/C33,0)</f>
        <v>1.6625173889991983E-2</v>
      </c>
      <c r="K34" s="261"/>
      <c r="M34" s="239" t="s">
        <v>387</v>
      </c>
      <c r="N34" s="240">
        <f>N33-S33</f>
        <v>391697.37233958801</v>
      </c>
      <c r="O34" s="241"/>
      <c r="P34" s="241"/>
      <c r="Q34" s="241"/>
      <c r="R34" s="241"/>
      <c r="S34" s="263">
        <f>IFERROR(S33/N33,0)</f>
        <v>0.31200000000000017</v>
      </c>
      <c r="T34" s="318"/>
    </row>
    <row r="35" spans="2:20">
      <c r="B35" s="223">
        <v>25</v>
      </c>
      <c r="C35" s="229">
        <f>IF(C32=0,0,IF((C32/D35)&gt;F32,IF(F32=0,0,F32*D35),$C$2*((1+$F$2)^(1/12)-1)))</f>
        <v>47443.96467291523</v>
      </c>
      <c r="D35" s="230">
        <f>D32*(1+((1+$F$1)^(1/12)-1))</f>
        <v>12.663027418571433</v>
      </c>
      <c r="E35" s="230">
        <f>IF((C35/D35)&gt;F32,F32,(C35/D35))</f>
        <v>3746.6526056268758</v>
      </c>
      <c r="F35" s="232">
        <f>F32-E35</f>
        <v>394850.28616988257</v>
      </c>
      <c r="G35" s="230">
        <f t="shared" ref="G35:G46" si="29">IF($C$3="Debt Fund",E35*(D35-10),0)</f>
        <v>0</v>
      </c>
      <c r="H35" s="230">
        <f t="shared" ref="H35:H46" si="30">IF($C$3="Balanced /Equity",E35*(D35-10),0)</f>
        <v>9977.4386166464719</v>
      </c>
      <c r="I35" s="252"/>
      <c r="J35" s="227">
        <f>IF($C$3="Balanced /Equity",H35*10.4%,G35*$F$4)</f>
        <v>1037.6536161312331</v>
      </c>
      <c r="K35" s="229">
        <f t="shared" ref="K35:K46" si="31">D35*F35</f>
        <v>5000000</v>
      </c>
      <c r="M35" s="223">
        <v>25</v>
      </c>
      <c r="N35" s="229">
        <f t="shared" ref="N35:N46" si="32">IF($L$4=1,$C$2*((1+$F$2)^(1/12)-1),$C$2*((1+$F$1)^(1/12)-1))</f>
        <v>47443.96467291523</v>
      </c>
      <c r="O35" s="242">
        <f t="shared" ref="O35:O46" si="33">IF($C$3="Balanced /Equity",N35*(1-E_DDT),N35*(1-D_DDT))</f>
        <v>32641.447694965675</v>
      </c>
      <c r="P35" s="316">
        <f>N35/(10*$F$6)</f>
        <v>9.4887929345830457E-3</v>
      </c>
      <c r="Q35" s="230">
        <f>10*(1+((1+$F$1)^(1/12)-1))</f>
        <v>10.09488792934583</v>
      </c>
      <c r="R35" s="230">
        <f>Q35-(P35*10)</f>
        <v>10</v>
      </c>
      <c r="S35" s="242">
        <f>N35-O35</f>
        <v>14802.516977949555</v>
      </c>
      <c r="T35" s="229">
        <f>$F$6*R35</f>
        <v>5000000</v>
      </c>
    </row>
    <row r="36" spans="2:20">
      <c r="B36" s="223">
        <v>26</v>
      </c>
      <c r="C36" s="229">
        <f>IF(C35=0,0,IF((C35/D36)&gt;F35,IF(F35=0,0,F35*D36),$C$2*((1+$F$2)^(1/12)-1)))</f>
        <v>47443.96467291523</v>
      </c>
      <c r="D36" s="230">
        <f>D35*(1+((1+$F$1)^(1/12)-1))</f>
        <v>12.783184263671204</v>
      </c>
      <c r="E36" s="230">
        <f t="shared" ref="E36:E46" si="34">IF((C36/D36)&gt;F35,F35,(C36/D36))</f>
        <v>3711.4355620881734</v>
      </c>
      <c r="F36" s="232">
        <f>F35-E36</f>
        <v>391138.85060779442</v>
      </c>
      <c r="G36" s="230">
        <f t="shared" si="29"/>
        <v>0</v>
      </c>
      <c r="H36" s="230">
        <f t="shared" si="30"/>
        <v>10329.609052033495</v>
      </c>
      <c r="I36" s="252"/>
      <c r="J36" s="227">
        <f t="shared" ref="J36:J46" si="35">IF($C$3="Balanced /Equity",H36*10.4%,G36*$F$4)</f>
        <v>1074.2793414114835</v>
      </c>
      <c r="K36" s="229">
        <f t="shared" si="31"/>
        <v>5000000</v>
      </c>
      <c r="M36" s="223">
        <v>26</v>
      </c>
      <c r="N36" s="229">
        <f t="shared" si="32"/>
        <v>47443.96467291523</v>
      </c>
      <c r="O36" s="242">
        <f t="shared" si="33"/>
        <v>32641.447694965675</v>
      </c>
      <c r="P36" s="316">
        <f t="shared" ref="P36:P46" si="36">N36/(10*$F$6)</f>
        <v>9.4887929345830457E-3</v>
      </c>
      <c r="Q36" s="230">
        <f t="shared" ref="Q36:Q46" si="37">10*(1+((1+$F$1)^(1/12)-1))</f>
        <v>10.09488792934583</v>
      </c>
      <c r="R36" s="230">
        <f t="shared" ref="R36:R46" si="38">Q36-(P36*10)</f>
        <v>10</v>
      </c>
      <c r="S36" s="242">
        <f t="shared" ref="S36:S46" si="39">N36-O36</f>
        <v>14802.516977949555</v>
      </c>
      <c r="T36" s="229">
        <f t="shared" ref="T36:T46" si="40">$F$6*R36</f>
        <v>5000000</v>
      </c>
    </row>
    <row r="37" spans="2:20">
      <c r="B37" s="223">
        <v>27</v>
      </c>
      <c r="C37" s="229">
        <f t="shared" ref="C37:C46" si="41">IF(C36=0,0,IF((C36/D37)&gt;F36,IF(F36=0,0,F36*D37),$C$2*((1+$F$2)^(1/12)-1)))</f>
        <v>47443.96467291523</v>
      </c>
      <c r="D37" s="230">
        <f t="shared" ref="D37:D46" si="42">D36*(1+((1+$F$1)^(1/12)-1))</f>
        <v>12.904481252193801</v>
      </c>
      <c r="E37" s="230">
        <f t="shared" si="34"/>
        <v>3676.5495447443586</v>
      </c>
      <c r="F37" s="232">
        <f t="shared" ref="F37:F46" si="43">F36-E37</f>
        <v>387462.30106305005</v>
      </c>
      <c r="G37" s="230">
        <f t="shared" si="29"/>
        <v>0</v>
      </c>
      <c r="H37" s="230">
        <f t="shared" si="30"/>
        <v>10678.469225471643</v>
      </c>
      <c r="I37" s="252"/>
      <c r="J37" s="227">
        <f t="shared" si="35"/>
        <v>1110.560799449051</v>
      </c>
      <c r="K37" s="229">
        <f t="shared" si="31"/>
        <v>4999999.9999999991</v>
      </c>
      <c r="M37" s="223">
        <v>27</v>
      </c>
      <c r="N37" s="229">
        <f t="shared" si="32"/>
        <v>47443.96467291523</v>
      </c>
      <c r="O37" s="242">
        <f t="shared" si="33"/>
        <v>32641.447694965675</v>
      </c>
      <c r="P37" s="316">
        <f t="shared" si="36"/>
        <v>9.4887929345830457E-3</v>
      </c>
      <c r="Q37" s="230">
        <f t="shared" si="37"/>
        <v>10.09488792934583</v>
      </c>
      <c r="R37" s="230">
        <f t="shared" si="38"/>
        <v>10</v>
      </c>
      <c r="S37" s="242">
        <f t="shared" si="39"/>
        <v>14802.516977949555</v>
      </c>
      <c r="T37" s="229">
        <f t="shared" si="40"/>
        <v>5000000</v>
      </c>
    </row>
    <row r="38" spans="2:20">
      <c r="B38" s="223">
        <v>28</v>
      </c>
      <c r="C38" s="229">
        <f t="shared" si="41"/>
        <v>47443.96467291523</v>
      </c>
      <c r="D38" s="230">
        <f t="shared" si="42"/>
        <v>13.026929202724077</v>
      </c>
      <c r="E38" s="230">
        <f t="shared" si="34"/>
        <v>3641.9914420809291</v>
      </c>
      <c r="F38" s="232">
        <f t="shared" si="43"/>
        <v>383820.30962096911</v>
      </c>
      <c r="G38" s="230">
        <f t="shared" si="29"/>
        <v>0</v>
      </c>
      <c r="H38" s="230">
        <f t="shared" si="30"/>
        <v>11024.050252105937</v>
      </c>
      <c r="I38" s="252"/>
      <c r="J38" s="227">
        <f t="shared" si="35"/>
        <v>1146.5012262190176</v>
      </c>
      <c r="K38" s="229">
        <f t="shared" si="31"/>
        <v>4999999.9999999991</v>
      </c>
      <c r="M38" s="223">
        <v>28</v>
      </c>
      <c r="N38" s="229">
        <f t="shared" si="32"/>
        <v>47443.96467291523</v>
      </c>
      <c r="O38" s="242">
        <f t="shared" si="33"/>
        <v>32641.447694965675</v>
      </c>
      <c r="P38" s="316">
        <f t="shared" si="36"/>
        <v>9.4887929345830457E-3</v>
      </c>
      <c r="Q38" s="230">
        <f t="shared" si="37"/>
        <v>10.09488792934583</v>
      </c>
      <c r="R38" s="230">
        <f t="shared" si="38"/>
        <v>10</v>
      </c>
      <c r="S38" s="242">
        <f t="shared" si="39"/>
        <v>14802.516977949555</v>
      </c>
      <c r="T38" s="229">
        <f t="shared" si="40"/>
        <v>5000000</v>
      </c>
    </row>
    <row r="39" spans="2:20">
      <c r="B39" s="223">
        <v>29</v>
      </c>
      <c r="C39" s="229">
        <f t="shared" si="41"/>
        <v>47443.96467291523</v>
      </c>
      <c r="D39" s="230">
        <f t="shared" si="42"/>
        <v>13.150539036502199</v>
      </c>
      <c r="E39" s="230">
        <f t="shared" si="34"/>
        <v>3607.7581718303809</v>
      </c>
      <c r="F39" s="232">
        <f t="shared" si="43"/>
        <v>380212.55144913873</v>
      </c>
      <c r="G39" s="230">
        <f t="shared" si="29"/>
        <v>0</v>
      </c>
      <c r="H39" s="230">
        <f t="shared" si="30"/>
        <v>11366.382954611423</v>
      </c>
      <c r="I39" s="252"/>
      <c r="J39" s="227">
        <f t="shared" si="35"/>
        <v>1182.1038272795881</v>
      </c>
      <c r="K39" s="229">
        <f t="shared" si="31"/>
        <v>4999999.9999999991</v>
      </c>
      <c r="M39" s="223">
        <v>29</v>
      </c>
      <c r="N39" s="229">
        <f t="shared" si="32"/>
        <v>47443.96467291523</v>
      </c>
      <c r="O39" s="242">
        <f t="shared" si="33"/>
        <v>32641.447694965675</v>
      </c>
      <c r="P39" s="316">
        <f t="shared" si="36"/>
        <v>9.4887929345830457E-3</v>
      </c>
      <c r="Q39" s="230">
        <f t="shared" si="37"/>
        <v>10.09488792934583</v>
      </c>
      <c r="R39" s="230">
        <f t="shared" si="38"/>
        <v>10</v>
      </c>
      <c r="S39" s="242">
        <f t="shared" si="39"/>
        <v>14802.516977949555</v>
      </c>
      <c r="T39" s="229">
        <f t="shared" si="40"/>
        <v>5000000</v>
      </c>
    </row>
    <row r="40" spans="2:20">
      <c r="B40" s="223">
        <v>30</v>
      </c>
      <c r="C40" s="229">
        <f t="shared" si="41"/>
        <v>47443.96467291523</v>
      </c>
      <c r="D40" s="230">
        <f t="shared" si="42"/>
        <v>13.27532177839772</v>
      </c>
      <c r="E40" s="230">
        <f t="shared" si="34"/>
        <v>3573.846680697297</v>
      </c>
      <c r="F40" s="232">
        <f t="shared" si="43"/>
        <v>376638.70476844144</v>
      </c>
      <c r="G40" s="230">
        <f t="shared" si="29"/>
        <v>0</v>
      </c>
      <c r="H40" s="230">
        <f t="shared" si="30"/>
        <v>11705.497865942258</v>
      </c>
      <c r="I40" s="252"/>
      <c r="J40" s="227">
        <f t="shared" si="35"/>
        <v>1217.371778057995</v>
      </c>
      <c r="K40" s="229">
        <f t="shared" si="31"/>
        <v>5000000</v>
      </c>
      <c r="M40" s="223">
        <v>30</v>
      </c>
      <c r="N40" s="229">
        <f t="shared" si="32"/>
        <v>47443.96467291523</v>
      </c>
      <c r="O40" s="242">
        <f t="shared" si="33"/>
        <v>32641.447694965675</v>
      </c>
      <c r="P40" s="316">
        <f t="shared" si="36"/>
        <v>9.4887929345830457E-3</v>
      </c>
      <c r="Q40" s="230">
        <f t="shared" si="37"/>
        <v>10.09488792934583</v>
      </c>
      <c r="R40" s="230">
        <f t="shared" si="38"/>
        <v>10</v>
      </c>
      <c r="S40" s="242">
        <f t="shared" si="39"/>
        <v>14802.516977949555</v>
      </c>
      <c r="T40" s="229">
        <f t="shared" si="40"/>
        <v>5000000</v>
      </c>
    </row>
    <row r="41" spans="2:20">
      <c r="B41" s="223">
        <v>31</v>
      </c>
      <c r="C41" s="229">
        <f t="shared" si="41"/>
        <v>47443.96467291523</v>
      </c>
      <c r="D41" s="230">
        <f t="shared" si="42"/>
        <v>13.401288557892896</v>
      </c>
      <c r="E41" s="230">
        <f t="shared" si="34"/>
        <v>3540.2539440860241</v>
      </c>
      <c r="F41" s="232">
        <f t="shared" si="43"/>
        <v>373098.45082435542</v>
      </c>
      <c r="G41" s="230">
        <f t="shared" si="29"/>
        <v>0</v>
      </c>
      <c r="H41" s="230">
        <f t="shared" si="30"/>
        <v>12041.425232054989</v>
      </c>
      <c r="I41" s="252"/>
      <c r="J41" s="227">
        <f t="shared" si="35"/>
        <v>1252.308224133719</v>
      </c>
      <c r="K41" s="229">
        <f t="shared" si="31"/>
        <v>4999999.9999999991</v>
      </c>
      <c r="M41" s="223">
        <v>31</v>
      </c>
      <c r="N41" s="229">
        <f t="shared" si="32"/>
        <v>47443.96467291523</v>
      </c>
      <c r="O41" s="242">
        <f t="shared" si="33"/>
        <v>32641.447694965675</v>
      </c>
      <c r="P41" s="316">
        <f t="shared" si="36"/>
        <v>9.4887929345830457E-3</v>
      </c>
      <c r="Q41" s="230">
        <f t="shared" si="37"/>
        <v>10.09488792934583</v>
      </c>
      <c r="R41" s="230">
        <f t="shared" si="38"/>
        <v>10</v>
      </c>
      <c r="S41" s="242">
        <f t="shared" si="39"/>
        <v>14802.516977949555</v>
      </c>
      <c r="T41" s="229">
        <f t="shared" si="40"/>
        <v>5000000</v>
      </c>
    </row>
    <row r="42" spans="2:20">
      <c r="B42" s="223">
        <v>32</v>
      </c>
      <c r="C42" s="229">
        <f t="shared" si="41"/>
        <v>47443.96467291523</v>
      </c>
      <c r="D42" s="230">
        <f t="shared" si="42"/>
        <v>13.528450610075339</v>
      </c>
      <c r="E42" s="230">
        <f t="shared" si="34"/>
        <v>3506.9769658309024</v>
      </c>
      <c r="F42" s="232">
        <f t="shared" si="43"/>
        <v>369591.47385852452</v>
      </c>
      <c r="G42" s="230">
        <f t="shared" si="29"/>
        <v>0</v>
      </c>
      <c r="H42" s="230">
        <f t="shared" si="30"/>
        <v>12374.195014606208</v>
      </c>
      <c r="I42" s="252"/>
      <c r="J42" s="227">
        <f t="shared" si="35"/>
        <v>1286.9162815190457</v>
      </c>
      <c r="K42" s="229">
        <f t="shared" si="31"/>
        <v>5000000</v>
      </c>
      <c r="M42" s="223">
        <v>32</v>
      </c>
      <c r="N42" s="229">
        <f t="shared" si="32"/>
        <v>47443.96467291523</v>
      </c>
      <c r="O42" s="242">
        <f t="shared" si="33"/>
        <v>32641.447694965675</v>
      </c>
      <c r="P42" s="316">
        <f t="shared" si="36"/>
        <v>9.4887929345830457E-3</v>
      </c>
      <c r="Q42" s="230">
        <f t="shared" si="37"/>
        <v>10.09488792934583</v>
      </c>
      <c r="R42" s="230">
        <f t="shared" si="38"/>
        <v>10</v>
      </c>
      <c r="S42" s="242">
        <f t="shared" si="39"/>
        <v>14802.516977949555</v>
      </c>
      <c r="T42" s="229">
        <f t="shared" si="40"/>
        <v>5000000</v>
      </c>
    </row>
    <row r="43" spans="2:20">
      <c r="B43" s="223">
        <v>33</v>
      </c>
      <c r="C43" s="229">
        <f t="shared" si="41"/>
        <v>47443.96467291523</v>
      </c>
      <c r="D43" s="230">
        <f t="shared" si="42"/>
        <v>13.656819276640078</v>
      </c>
      <c r="E43" s="230">
        <f t="shared" si="34"/>
        <v>3474.0127779290378</v>
      </c>
      <c r="F43" s="232">
        <f t="shared" si="43"/>
        <v>366117.4610805955</v>
      </c>
      <c r="G43" s="230">
        <f t="shared" si="29"/>
        <v>0</v>
      </c>
      <c r="H43" s="230">
        <f t="shared" si="30"/>
        <v>12703.836893624853</v>
      </c>
      <c r="I43" s="252"/>
      <c r="J43" s="227">
        <f t="shared" si="35"/>
        <v>1321.1990369369848</v>
      </c>
      <c r="K43" s="229">
        <f t="shared" si="31"/>
        <v>5000000</v>
      </c>
      <c r="M43" s="223">
        <v>33</v>
      </c>
      <c r="N43" s="229">
        <f t="shared" si="32"/>
        <v>47443.96467291523</v>
      </c>
      <c r="O43" s="242">
        <f t="shared" si="33"/>
        <v>32641.447694965675</v>
      </c>
      <c r="P43" s="316">
        <f t="shared" si="36"/>
        <v>9.4887929345830457E-3</v>
      </c>
      <c r="Q43" s="230">
        <f t="shared" si="37"/>
        <v>10.09488792934583</v>
      </c>
      <c r="R43" s="230">
        <f t="shared" si="38"/>
        <v>10</v>
      </c>
      <c r="S43" s="242">
        <f t="shared" si="39"/>
        <v>14802.516977949555</v>
      </c>
      <c r="T43" s="229">
        <f t="shared" si="40"/>
        <v>5000000</v>
      </c>
    </row>
    <row r="44" spans="2:20">
      <c r="B44" s="223">
        <v>34</v>
      </c>
      <c r="C44" s="229">
        <f t="shared" si="41"/>
        <v>47443.96467291523</v>
      </c>
      <c r="D44" s="230">
        <f t="shared" si="42"/>
        <v>13.786406006901139</v>
      </c>
      <c r="E44" s="230">
        <f t="shared" si="34"/>
        <v>3441.3584402755828</v>
      </c>
      <c r="F44" s="232">
        <f t="shared" si="43"/>
        <v>362676.10264031991</v>
      </c>
      <c r="G44" s="230">
        <f t="shared" si="29"/>
        <v>0</v>
      </c>
      <c r="H44" s="230">
        <f t="shared" si="30"/>
        <v>13030.3802701594</v>
      </c>
      <c r="I44" s="252"/>
      <c r="J44" s="227">
        <f t="shared" si="35"/>
        <v>1355.1595480965777</v>
      </c>
      <c r="K44" s="229">
        <f t="shared" si="31"/>
        <v>5000000</v>
      </c>
      <c r="M44" s="223">
        <v>34</v>
      </c>
      <c r="N44" s="229">
        <f t="shared" si="32"/>
        <v>47443.96467291523</v>
      </c>
      <c r="O44" s="242">
        <f t="shared" si="33"/>
        <v>32641.447694965675</v>
      </c>
      <c r="P44" s="316">
        <f t="shared" si="36"/>
        <v>9.4887929345830457E-3</v>
      </c>
      <c r="Q44" s="230">
        <f t="shared" si="37"/>
        <v>10.09488792934583</v>
      </c>
      <c r="R44" s="230">
        <f t="shared" si="38"/>
        <v>10</v>
      </c>
      <c r="S44" s="242">
        <f t="shared" si="39"/>
        <v>14802.516977949555</v>
      </c>
      <c r="T44" s="229">
        <f t="shared" si="40"/>
        <v>5000000</v>
      </c>
    </row>
    <row r="45" spans="2:20">
      <c r="B45" s="223">
        <v>35</v>
      </c>
      <c r="C45" s="229">
        <f t="shared" si="41"/>
        <v>47443.96467291523</v>
      </c>
      <c r="D45" s="230">
        <f t="shared" si="42"/>
        <v>13.917222358812715</v>
      </c>
      <c r="E45" s="230">
        <f t="shared" si="34"/>
        <v>3409.0110404015054</v>
      </c>
      <c r="F45" s="232">
        <f t="shared" si="43"/>
        <v>359267.09159991838</v>
      </c>
      <c r="G45" s="230">
        <f t="shared" si="29"/>
        <v>0</v>
      </c>
      <c r="H45" s="230">
        <f t="shared" si="30"/>
        <v>13353.854268900173</v>
      </c>
      <c r="I45" s="252"/>
      <c r="J45" s="227">
        <f t="shared" si="35"/>
        <v>1388.8008439656182</v>
      </c>
      <c r="K45" s="229">
        <f t="shared" si="31"/>
        <v>5000000</v>
      </c>
      <c r="M45" s="223">
        <v>35</v>
      </c>
      <c r="N45" s="229">
        <f t="shared" si="32"/>
        <v>47443.96467291523</v>
      </c>
      <c r="O45" s="242">
        <f t="shared" si="33"/>
        <v>32641.447694965675</v>
      </c>
      <c r="P45" s="316">
        <f t="shared" si="36"/>
        <v>9.4887929345830457E-3</v>
      </c>
      <c r="Q45" s="230">
        <f t="shared" si="37"/>
        <v>10.09488792934583</v>
      </c>
      <c r="R45" s="230">
        <f t="shared" si="38"/>
        <v>10</v>
      </c>
      <c r="S45" s="242">
        <f t="shared" si="39"/>
        <v>14802.516977949555</v>
      </c>
      <c r="T45" s="229">
        <f t="shared" si="40"/>
        <v>5000000</v>
      </c>
    </row>
    <row r="46" spans="2:20">
      <c r="B46" s="223">
        <v>36</v>
      </c>
      <c r="C46" s="229">
        <f t="shared" si="41"/>
        <v>47443.96467291523</v>
      </c>
      <c r="D46" s="230">
        <f t="shared" si="42"/>
        <v>14.049280000000039</v>
      </c>
      <c r="E46" s="230">
        <f t="shared" si="34"/>
        <v>3376.9676932138232</v>
      </c>
      <c r="F46" s="227">
        <f t="shared" si="43"/>
        <v>355890.12390670454</v>
      </c>
      <c r="G46" s="230">
        <f t="shared" si="29"/>
        <v>0</v>
      </c>
      <c r="H46" s="230">
        <f t="shared" si="30"/>
        <v>13674.287740777001</v>
      </c>
      <c r="I46" s="252"/>
      <c r="J46" s="227">
        <f t="shared" si="35"/>
        <v>1422.1259250408082</v>
      </c>
      <c r="K46" s="229">
        <f t="shared" si="31"/>
        <v>5000000</v>
      </c>
      <c r="M46" s="223">
        <v>36</v>
      </c>
      <c r="N46" s="229">
        <f t="shared" si="32"/>
        <v>47443.96467291523</v>
      </c>
      <c r="O46" s="242">
        <f t="shared" si="33"/>
        <v>32641.447694965675</v>
      </c>
      <c r="P46" s="316">
        <f t="shared" si="36"/>
        <v>9.4887929345830457E-3</v>
      </c>
      <c r="Q46" s="230">
        <f t="shared" si="37"/>
        <v>10.09488792934583</v>
      </c>
      <c r="R46" s="230">
        <f t="shared" si="38"/>
        <v>10</v>
      </c>
      <c r="S46" s="242">
        <f t="shared" si="39"/>
        <v>14802.516977949555</v>
      </c>
      <c r="T46" s="229">
        <f t="shared" si="40"/>
        <v>5000000</v>
      </c>
    </row>
    <row r="47" spans="2:20">
      <c r="B47" s="234" t="s">
        <v>386</v>
      </c>
      <c r="C47" s="235">
        <f>SUM(C35:C46)</f>
        <v>569327.57607498276</v>
      </c>
      <c r="D47" s="236"/>
      <c r="E47" s="237"/>
      <c r="F47" s="238"/>
      <c r="G47" s="237"/>
      <c r="H47" s="237"/>
      <c r="I47" s="237"/>
      <c r="J47" s="255">
        <f>SUM(J35:J46)</f>
        <v>14794.980448241122</v>
      </c>
      <c r="K47" s="256"/>
      <c r="M47" s="234" t="s">
        <v>386</v>
      </c>
      <c r="N47" s="235">
        <f t="shared" ref="N47" si="44">SUM(N35:N46)</f>
        <v>569327.57607498276</v>
      </c>
      <c r="O47" s="236"/>
      <c r="P47" s="317">
        <f t="shared" ref="P47" si="45">SUM(P35:P46)</f>
        <v>0.11386551521499655</v>
      </c>
      <c r="Q47" s="238"/>
      <c r="R47" s="237"/>
      <c r="S47" s="258">
        <f t="shared" ref="S47" si="46">SUM(S35:S46)</f>
        <v>177630.20373539472</v>
      </c>
      <c r="T47" s="256"/>
    </row>
    <row r="48" spans="2:20">
      <c r="B48" s="239" t="s">
        <v>387</v>
      </c>
      <c r="C48" s="240">
        <f>C47-J47</f>
        <v>554532.59562674165</v>
      </c>
      <c r="D48" s="241"/>
      <c r="E48" s="241"/>
      <c r="F48" s="241"/>
      <c r="G48" s="241"/>
      <c r="H48" s="241"/>
      <c r="I48" s="241"/>
      <c r="J48" s="260">
        <f>IFERROR(J47/C47,0)</f>
        <v>2.5986762401778624E-2</v>
      </c>
      <c r="K48" s="261"/>
      <c r="M48" s="239" t="s">
        <v>387</v>
      </c>
      <c r="N48" s="240">
        <f t="shared" ref="N48" si="47">N47-S47</f>
        <v>391697.37233958801</v>
      </c>
      <c r="O48" s="241"/>
      <c r="P48" s="241"/>
      <c r="Q48" s="241"/>
      <c r="R48" s="241"/>
      <c r="S48" s="263">
        <f>IFERROR(S47/N47,0)</f>
        <v>0.31200000000000017</v>
      </c>
      <c r="T48" s="318"/>
    </row>
    <row r="49" spans="2:20">
      <c r="B49" s="223">
        <v>37</v>
      </c>
      <c r="C49" s="229">
        <f>IF(C46=0,0,IF((C46/D49)&gt;F46,IF(F46=0,0,F46*D49),$C$2*((1+$F$2)^(1/12)-1)))</f>
        <v>47443.96467291523</v>
      </c>
      <c r="D49" s="230">
        <f>D46*(1+((1+$F$1)^(1/12)-1))</f>
        <v>14.182590708800017</v>
      </c>
      <c r="E49" s="230">
        <f>IF((C49/D49)&gt;F46,F46,(C49/D49))</f>
        <v>3345.2255407382791</v>
      </c>
      <c r="F49" s="232">
        <f>F46-E49</f>
        <v>352544.89836596628</v>
      </c>
      <c r="G49" s="230"/>
      <c r="H49" s="242">
        <f>E49*(D49-10)</f>
        <v>13991.70926553244</v>
      </c>
      <c r="I49" s="242">
        <f>IF($C$3="Balanced /Equity",0,E49*(D49-FV($F$3,3,,-10)))</f>
        <v>0</v>
      </c>
      <c r="J49" s="227">
        <f>IF($C$3="Balanced /Equity",H49*10.4%,I49*$F$4)</f>
        <v>1455.1377636153738</v>
      </c>
      <c r="K49" s="229">
        <f t="shared" ref="K49:K60" si="48">D49*F49</f>
        <v>5000000</v>
      </c>
      <c r="M49" s="223">
        <v>37</v>
      </c>
      <c r="N49" s="229">
        <f t="shared" ref="N49:N60" si="49">IF($L$4=1,$C$2*((1+$F$2)^(1/12)-1),$C$2*((1+$F$1)^(1/12)-1))</f>
        <v>47443.96467291523</v>
      </c>
      <c r="O49" s="242">
        <f t="shared" ref="O49:O60" si="50">IF($C$3="Balanced /Equity",N49*(1-E_DDT),N49*(1-D_DDT))</f>
        <v>32641.447694965675</v>
      </c>
      <c r="P49" s="316">
        <f>N49/(10*$F$6)</f>
        <v>9.4887929345830457E-3</v>
      </c>
      <c r="Q49" s="230">
        <f>10*(1+((1+$F$1)^(1/12)-1))</f>
        <v>10.09488792934583</v>
      </c>
      <c r="R49" s="230">
        <f>Q49-(P49*10)</f>
        <v>10</v>
      </c>
      <c r="S49" s="242">
        <f>N49-O49</f>
        <v>14802.516977949555</v>
      </c>
      <c r="T49" s="229">
        <f>$F$6*R49</f>
        <v>5000000</v>
      </c>
    </row>
    <row r="50" spans="2:20">
      <c r="B50" s="223">
        <v>38</v>
      </c>
      <c r="C50" s="229">
        <f>IF(C49=0,0,IF((C49/D50)&gt;F49,IF(F49=0,0,F49*D50),$C$2*((1+$F$2)^(1/12)-1)))</f>
        <v>47443.96467291523</v>
      </c>
      <c r="D50" s="230">
        <f>D49*(1+((1+$F$1)^(1/12)-1))</f>
        <v>14.317166375311762</v>
      </c>
      <c r="E50" s="230">
        <f t="shared" ref="E50:E60" si="51">IF((C50/D50)&gt;F49,F49,(C50/D50))</f>
        <v>3313.7817518644374</v>
      </c>
      <c r="F50" s="232">
        <f>F49-E50</f>
        <v>349231.11661410186</v>
      </c>
      <c r="G50" s="230"/>
      <c r="H50" s="242">
        <f t="shared" ref="H50:H60" si="52">E50*(D50-10)</f>
        <v>14306.147154270855</v>
      </c>
      <c r="I50" s="242">
        <f t="shared" ref="I50:I60" si="53">IF($C$3="Balanced /Equity",0,E50*(D50-FV($F$3,3,,-10)))</f>
        <v>0</v>
      </c>
      <c r="J50" s="227">
        <f t="shared" ref="J50:J60" si="54">IF($C$3="Balanced /Equity",H50*10.4%,I50*$F$4)</f>
        <v>1487.839304044169</v>
      </c>
      <c r="K50" s="229">
        <f t="shared" si="48"/>
        <v>5000000</v>
      </c>
      <c r="M50" s="223">
        <v>38</v>
      </c>
      <c r="N50" s="229">
        <f t="shared" si="49"/>
        <v>47443.96467291523</v>
      </c>
      <c r="O50" s="242">
        <f t="shared" si="50"/>
        <v>32641.447694965675</v>
      </c>
      <c r="P50" s="316">
        <f t="shared" ref="P50:P60" si="55">N50/(10*$F$6)</f>
        <v>9.4887929345830457E-3</v>
      </c>
      <c r="Q50" s="230">
        <f t="shared" ref="Q50:Q60" si="56">10*(1+((1+$F$1)^(1/12)-1))</f>
        <v>10.09488792934583</v>
      </c>
      <c r="R50" s="230">
        <f t="shared" ref="R50:R60" si="57">Q50-(P50*10)</f>
        <v>10</v>
      </c>
      <c r="S50" s="242">
        <f t="shared" ref="S50:S60" si="58">N50-O50</f>
        <v>14802.516977949555</v>
      </c>
      <c r="T50" s="229">
        <f t="shared" ref="T50:T60" si="59">$F$6*R50</f>
        <v>5000000</v>
      </c>
    </row>
    <row r="51" spans="2:20">
      <c r="B51" s="223">
        <v>39</v>
      </c>
      <c r="C51" s="229">
        <f t="shared" ref="C51:C60" si="60">IF(C50=0,0,IF((C50/D51)&gt;F50,IF(F50=0,0,F50*D51),$C$2*((1+$F$2)^(1/12)-1)))</f>
        <v>47443.96467291523</v>
      </c>
      <c r="D51" s="230">
        <f t="shared" ref="D51:D60" si="61">D50*(1+((1+$F$1)^(1/12)-1))</f>
        <v>14.45301900245707</v>
      </c>
      <c r="E51" s="230">
        <f t="shared" si="51"/>
        <v>3282.6335220931742</v>
      </c>
      <c r="F51" s="232">
        <f t="shared" ref="F51:F60" si="62">F50-E51</f>
        <v>345948.48309200868</v>
      </c>
      <c r="G51" s="230"/>
      <c r="H51" s="242">
        <f t="shared" si="52"/>
        <v>14617.629451983486</v>
      </c>
      <c r="I51" s="242">
        <f t="shared" si="53"/>
        <v>0</v>
      </c>
      <c r="J51" s="227">
        <f t="shared" si="54"/>
        <v>1520.2334630062828</v>
      </c>
      <c r="K51" s="229">
        <f t="shared" si="48"/>
        <v>5000000</v>
      </c>
      <c r="M51" s="223">
        <v>39</v>
      </c>
      <c r="N51" s="229">
        <f t="shared" si="49"/>
        <v>47443.96467291523</v>
      </c>
      <c r="O51" s="242">
        <f t="shared" si="50"/>
        <v>32641.447694965675</v>
      </c>
      <c r="P51" s="316">
        <f t="shared" si="55"/>
        <v>9.4887929345830457E-3</v>
      </c>
      <c r="Q51" s="230">
        <f t="shared" si="56"/>
        <v>10.09488792934583</v>
      </c>
      <c r="R51" s="230">
        <f t="shared" si="57"/>
        <v>10</v>
      </c>
      <c r="S51" s="242">
        <f t="shared" si="58"/>
        <v>14802.516977949555</v>
      </c>
      <c r="T51" s="229">
        <f t="shared" si="59"/>
        <v>5000000</v>
      </c>
    </row>
    <row r="52" spans="2:20">
      <c r="B52" s="223">
        <v>40</v>
      </c>
      <c r="C52" s="229">
        <f t="shared" si="60"/>
        <v>47443.96467291523</v>
      </c>
      <c r="D52" s="230">
        <f t="shared" si="61"/>
        <v>14.590160707050979</v>
      </c>
      <c r="E52" s="230">
        <f t="shared" si="51"/>
        <v>3251.7780732865413</v>
      </c>
      <c r="F52" s="232">
        <f t="shared" si="62"/>
        <v>342696.70501872216</v>
      </c>
      <c r="G52" s="230"/>
      <c r="H52" s="242">
        <f t="shared" si="52"/>
        <v>14926.183940049819</v>
      </c>
      <c r="I52" s="242">
        <f t="shared" si="53"/>
        <v>0</v>
      </c>
      <c r="J52" s="227">
        <f t="shared" si="54"/>
        <v>1552.3231297651814</v>
      </c>
      <c r="K52" s="229">
        <f t="shared" si="48"/>
        <v>5000000</v>
      </c>
      <c r="M52" s="223">
        <v>40</v>
      </c>
      <c r="N52" s="229">
        <f t="shared" si="49"/>
        <v>47443.96467291523</v>
      </c>
      <c r="O52" s="242">
        <f t="shared" si="50"/>
        <v>32641.447694965675</v>
      </c>
      <c r="P52" s="316">
        <f t="shared" si="55"/>
        <v>9.4887929345830457E-3</v>
      </c>
      <c r="Q52" s="230">
        <f t="shared" si="56"/>
        <v>10.09488792934583</v>
      </c>
      <c r="R52" s="230">
        <f t="shared" si="57"/>
        <v>10</v>
      </c>
      <c r="S52" s="242">
        <f t="shared" si="58"/>
        <v>14802.516977949555</v>
      </c>
      <c r="T52" s="229">
        <f t="shared" si="59"/>
        <v>5000000</v>
      </c>
    </row>
    <row r="53" spans="2:20">
      <c r="B53" s="223">
        <v>41</v>
      </c>
      <c r="C53" s="229">
        <f t="shared" si="60"/>
        <v>47443.96467291523</v>
      </c>
      <c r="D53" s="230">
        <f t="shared" si="61"/>
        <v>14.728603720882475</v>
      </c>
      <c r="E53" s="230">
        <f t="shared" si="51"/>
        <v>3221.2126534199801</v>
      </c>
      <c r="F53" s="232">
        <f t="shared" si="62"/>
        <v>339475.49236530217</v>
      </c>
      <c r="G53" s="230"/>
      <c r="H53" s="242">
        <f t="shared" si="52"/>
        <v>15231.83813871543</v>
      </c>
      <c r="I53" s="242">
        <f t="shared" si="53"/>
        <v>0</v>
      </c>
      <c r="J53" s="227">
        <f t="shared" si="54"/>
        <v>1584.1111664264049</v>
      </c>
      <c r="K53" s="229">
        <f t="shared" si="48"/>
        <v>5000000</v>
      </c>
      <c r="M53" s="223">
        <v>41</v>
      </c>
      <c r="N53" s="229">
        <f t="shared" si="49"/>
        <v>47443.96467291523</v>
      </c>
      <c r="O53" s="242">
        <f t="shared" si="50"/>
        <v>32641.447694965675</v>
      </c>
      <c r="P53" s="316">
        <f t="shared" si="55"/>
        <v>9.4887929345830457E-3</v>
      </c>
      <c r="Q53" s="230">
        <f t="shared" si="56"/>
        <v>10.09488792934583</v>
      </c>
      <c r="R53" s="230">
        <f t="shared" si="57"/>
        <v>10</v>
      </c>
      <c r="S53" s="242">
        <f t="shared" si="58"/>
        <v>14802.516977949555</v>
      </c>
      <c r="T53" s="229">
        <f t="shared" si="59"/>
        <v>5000000</v>
      </c>
    </row>
    <row r="54" spans="2:20">
      <c r="B54" s="223">
        <v>42</v>
      </c>
      <c r="C54" s="229">
        <f t="shared" si="60"/>
        <v>47443.96467291523</v>
      </c>
      <c r="D54" s="230">
        <f t="shared" si="61"/>
        <v>14.868360391805458</v>
      </c>
      <c r="E54" s="230">
        <f t="shared" si="51"/>
        <v>3190.9345363368698</v>
      </c>
      <c r="F54" s="232">
        <f t="shared" si="62"/>
        <v>336284.55782896531</v>
      </c>
      <c r="G54" s="230"/>
      <c r="H54" s="242">
        <f t="shared" si="52"/>
        <v>15534.619309546531</v>
      </c>
      <c r="I54" s="242">
        <f t="shared" si="53"/>
        <v>0</v>
      </c>
      <c r="J54" s="227">
        <f t="shared" si="54"/>
        <v>1615.6004081928395</v>
      </c>
      <c r="K54" s="229">
        <f t="shared" si="48"/>
        <v>5000000</v>
      </c>
      <c r="M54" s="223">
        <v>42</v>
      </c>
      <c r="N54" s="229">
        <f t="shared" si="49"/>
        <v>47443.96467291523</v>
      </c>
      <c r="O54" s="242">
        <f t="shared" si="50"/>
        <v>32641.447694965675</v>
      </c>
      <c r="P54" s="316">
        <f t="shared" si="55"/>
        <v>9.4887929345830457E-3</v>
      </c>
      <c r="Q54" s="230">
        <f t="shared" si="56"/>
        <v>10.09488792934583</v>
      </c>
      <c r="R54" s="230">
        <f t="shared" si="57"/>
        <v>10</v>
      </c>
      <c r="S54" s="242">
        <f t="shared" si="58"/>
        <v>14802.516977949555</v>
      </c>
      <c r="T54" s="229">
        <f t="shared" si="59"/>
        <v>5000000</v>
      </c>
    </row>
    <row r="55" spans="2:20">
      <c r="B55" s="223">
        <v>43</v>
      </c>
      <c r="C55" s="229">
        <f t="shared" si="60"/>
        <v>47443.96467291523</v>
      </c>
      <c r="D55" s="230">
        <f t="shared" si="61"/>
        <v>15.009443184840057</v>
      </c>
      <c r="E55" s="230">
        <f t="shared" si="51"/>
        <v>3160.9410215053758</v>
      </c>
      <c r="F55" s="232">
        <f t="shared" si="62"/>
        <v>333123.61680745991</v>
      </c>
      <c r="G55" s="230"/>
      <c r="H55" s="242">
        <f t="shared" si="52"/>
        <v>15834.554457861474</v>
      </c>
      <c r="I55" s="242">
        <f t="shared" si="53"/>
        <v>0</v>
      </c>
      <c r="J55" s="227">
        <f t="shared" si="54"/>
        <v>1646.7936636175934</v>
      </c>
      <c r="K55" s="229">
        <f t="shared" si="48"/>
        <v>5000000</v>
      </c>
      <c r="M55" s="223">
        <v>43</v>
      </c>
      <c r="N55" s="229">
        <f t="shared" si="49"/>
        <v>47443.96467291523</v>
      </c>
      <c r="O55" s="242">
        <f t="shared" si="50"/>
        <v>32641.447694965675</v>
      </c>
      <c r="P55" s="316">
        <f t="shared" si="55"/>
        <v>9.4887929345830457E-3</v>
      </c>
      <c r="Q55" s="230">
        <f t="shared" si="56"/>
        <v>10.09488792934583</v>
      </c>
      <c r="R55" s="230">
        <f t="shared" si="57"/>
        <v>10</v>
      </c>
      <c r="S55" s="242">
        <f t="shared" si="58"/>
        <v>14802.516977949555</v>
      </c>
      <c r="T55" s="229">
        <f t="shared" si="59"/>
        <v>5000000</v>
      </c>
    </row>
    <row r="56" spans="2:20">
      <c r="B56" s="223">
        <v>44</v>
      </c>
      <c r="C56" s="229">
        <f t="shared" si="60"/>
        <v>47443.96467291523</v>
      </c>
      <c r="D56" s="230">
        <f t="shared" si="61"/>
        <v>15.151864683284392</v>
      </c>
      <c r="E56" s="230">
        <f t="shared" si="51"/>
        <v>3131.2294337775888</v>
      </c>
      <c r="F56" s="232">
        <f t="shared" si="62"/>
        <v>329992.38737368234</v>
      </c>
      <c r="G56" s="230"/>
      <c r="H56" s="242">
        <f t="shared" si="52"/>
        <v>16131.670335139344</v>
      </c>
      <c r="I56" s="242">
        <f t="shared" si="53"/>
        <v>0</v>
      </c>
      <c r="J56" s="227">
        <f t="shared" si="54"/>
        <v>1677.6937148544919</v>
      </c>
      <c r="K56" s="229">
        <f t="shared" si="48"/>
        <v>5000000</v>
      </c>
      <c r="M56" s="223">
        <v>44</v>
      </c>
      <c r="N56" s="229">
        <f t="shared" si="49"/>
        <v>47443.96467291523</v>
      </c>
      <c r="O56" s="242">
        <f t="shared" si="50"/>
        <v>32641.447694965675</v>
      </c>
      <c r="P56" s="316">
        <f t="shared" si="55"/>
        <v>9.4887929345830457E-3</v>
      </c>
      <c r="Q56" s="230">
        <f t="shared" si="56"/>
        <v>10.09488792934583</v>
      </c>
      <c r="R56" s="230">
        <f t="shared" si="57"/>
        <v>10</v>
      </c>
      <c r="S56" s="242">
        <f t="shared" si="58"/>
        <v>14802.516977949555</v>
      </c>
      <c r="T56" s="229">
        <f t="shared" si="59"/>
        <v>5000000</v>
      </c>
    </row>
    <row r="57" spans="2:20">
      <c r="B57" s="223">
        <v>45</v>
      </c>
      <c r="C57" s="229">
        <f t="shared" si="60"/>
        <v>47443.96467291523</v>
      </c>
      <c r="D57" s="230">
        <f t="shared" si="61"/>
        <v>15.2956375898369</v>
      </c>
      <c r="E57" s="230">
        <f t="shared" si="51"/>
        <v>3101.7971231509241</v>
      </c>
      <c r="F57" s="232">
        <f t="shared" si="62"/>
        <v>326890.59025053144</v>
      </c>
      <c r="G57" s="230"/>
      <c r="H57" s="242">
        <f t="shared" si="52"/>
        <v>16425.99344140599</v>
      </c>
      <c r="I57" s="242">
        <f t="shared" si="53"/>
        <v>0</v>
      </c>
      <c r="J57" s="227">
        <f t="shared" si="54"/>
        <v>1708.3033179062231</v>
      </c>
      <c r="K57" s="229">
        <f t="shared" si="48"/>
        <v>5000000.0000000009</v>
      </c>
      <c r="M57" s="223">
        <v>45</v>
      </c>
      <c r="N57" s="229">
        <f t="shared" si="49"/>
        <v>47443.96467291523</v>
      </c>
      <c r="O57" s="242">
        <f t="shared" si="50"/>
        <v>32641.447694965675</v>
      </c>
      <c r="P57" s="316">
        <f t="shared" si="55"/>
        <v>9.4887929345830457E-3</v>
      </c>
      <c r="Q57" s="230">
        <f t="shared" si="56"/>
        <v>10.09488792934583</v>
      </c>
      <c r="R57" s="230">
        <f t="shared" si="57"/>
        <v>10</v>
      </c>
      <c r="S57" s="242">
        <f t="shared" si="58"/>
        <v>14802.516977949555</v>
      </c>
      <c r="T57" s="229">
        <f t="shared" si="59"/>
        <v>5000000</v>
      </c>
    </row>
    <row r="58" spans="2:20">
      <c r="B58" s="223">
        <v>46</v>
      </c>
      <c r="C58" s="229">
        <f t="shared" si="60"/>
        <v>47443.96467291523</v>
      </c>
      <c r="D58" s="230">
        <f t="shared" si="61"/>
        <v>15.440774727729288</v>
      </c>
      <c r="E58" s="230">
        <f t="shared" si="51"/>
        <v>3072.6414645317682</v>
      </c>
      <c r="F58" s="232">
        <f t="shared" si="62"/>
        <v>323817.94878599967</v>
      </c>
      <c r="G58" s="230"/>
      <c r="H58" s="242">
        <f t="shared" si="52"/>
        <v>16717.55002759755</v>
      </c>
      <c r="I58" s="242">
        <f t="shared" si="53"/>
        <v>0</v>
      </c>
      <c r="J58" s="227">
        <f t="shared" si="54"/>
        <v>1738.6252028701454</v>
      </c>
      <c r="K58" s="229">
        <f t="shared" si="48"/>
        <v>5000000.0000000009</v>
      </c>
      <c r="M58" s="223">
        <v>46</v>
      </c>
      <c r="N58" s="229">
        <f t="shared" si="49"/>
        <v>47443.96467291523</v>
      </c>
      <c r="O58" s="242">
        <f t="shared" si="50"/>
        <v>32641.447694965675</v>
      </c>
      <c r="P58" s="316">
        <f t="shared" si="55"/>
        <v>9.4887929345830457E-3</v>
      </c>
      <c r="Q58" s="230">
        <f t="shared" si="56"/>
        <v>10.09488792934583</v>
      </c>
      <c r="R58" s="230">
        <f t="shared" si="57"/>
        <v>10</v>
      </c>
      <c r="S58" s="242">
        <f t="shared" si="58"/>
        <v>14802.516977949555</v>
      </c>
      <c r="T58" s="229">
        <f t="shared" si="59"/>
        <v>5000000</v>
      </c>
    </row>
    <row r="59" spans="2:20">
      <c r="B59" s="223">
        <v>47</v>
      </c>
      <c r="C59" s="229">
        <f t="shared" si="60"/>
        <v>47443.96467291523</v>
      </c>
      <c r="D59" s="230">
        <f t="shared" si="61"/>
        <v>15.587289041870253</v>
      </c>
      <c r="E59" s="230">
        <f t="shared" si="51"/>
        <v>3043.7598575013417</v>
      </c>
      <c r="F59" s="232">
        <f t="shared" si="62"/>
        <v>320774.1889284983</v>
      </c>
      <c r="G59" s="230"/>
      <c r="H59" s="242">
        <f t="shared" si="52"/>
        <v>17006.36609790181</v>
      </c>
      <c r="I59" s="242">
        <f t="shared" si="53"/>
        <v>0</v>
      </c>
      <c r="J59" s="227">
        <f t="shared" si="54"/>
        <v>1768.6620741817883</v>
      </c>
      <c r="K59" s="229">
        <f t="shared" si="48"/>
        <v>5000000</v>
      </c>
      <c r="M59" s="223">
        <v>47</v>
      </c>
      <c r="N59" s="229">
        <f t="shared" si="49"/>
        <v>47443.96467291523</v>
      </c>
      <c r="O59" s="242">
        <f t="shared" si="50"/>
        <v>32641.447694965675</v>
      </c>
      <c r="P59" s="316">
        <f t="shared" si="55"/>
        <v>9.4887929345830457E-3</v>
      </c>
      <c r="Q59" s="230">
        <f t="shared" si="56"/>
        <v>10.09488792934583</v>
      </c>
      <c r="R59" s="230">
        <f t="shared" si="57"/>
        <v>10</v>
      </c>
      <c r="S59" s="242">
        <f t="shared" si="58"/>
        <v>14802.516977949555</v>
      </c>
      <c r="T59" s="229">
        <f t="shared" si="59"/>
        <v>5000000</v>
      </c>
    </row>
    <row r="60" spans="2:20">
      <c r="B60" s="223">
        <v>48</v>
      </c>
      <c r="C60" s="229">
        <f t="shared" si="60"/>
        <v>47443.96467291523</v>
      </c>
      <c r="D60" s="230">
        <f t="shared" si="61"/>
        <v>15.735193600000056</v>
      </c>
      <c r="E60" s="230">
        <f t="shared" si="51"/>
        <v>3015.1497260837682</v>
      </c>
      <c r="F60" s="227">
        <f t="shared" si="62"/>
        <v>317759.03920241451</v>
      </c>
      <c r="G60" s="230"/>
      <c r="H60" s="242">
        <f t="shared" si="52"/>
        <v>17292.467412077549</v>
      </c>
      <c r="I60" s="242">
        <f t="shared" si="53"/>
        <v>0</v>
      </c>
      <c r="J60" s="227">
        <f t="shared" si="54"/>
        <v>1798.4166108560653</v>
      </c>
      <c r="K60" s="229">
        <f t="shared" si="48"/>
        <v>5000000</v>
      </c>
      <c r="M60" s="223">
        <v>48</v>
      </c>
      <c r="N60" s="229">
        <f t="shared" si="49"/>
        <v>47443.96467291523</v>
      </c>
      <c r="O60" s="242">
        <f t="shared" si="50"/>
        <v>32641.447694965675</v>
      </c>
      <c r="P60" s="316">
        <f t="shared" si="55"/>
        <v>9.4887929345830457E-3</v>
      </c>
      <c r="Q60" s="230">
        <f t="shared" si="56"/>
        <v>10.09488792934583</v>
      </c>
      <c r="R60" s="230">
        <f t="shared" si="57"/>
        <v>10</v>
      </c>
      <c r="S60" s="242">
        <f t="shared" si="58"/>
        <v>14802.516977949555</v>
      </c>
      <c r="T60" s="229">
        <f t="shared" si="59"/>
        <v>5000000</v>
      </c>
    </row>
    <row r="61" spans="2:20">
      <c r="B61" s="234" t="s">
        <v>386</v>
      </c>
      <c r="C61" s="235">
        <f>SUM(C49:C60)</f>
        <v>569327.57607498276</v>
      </c>
      <c r="D61" s="236"/>
      <c r="E61" s="237"/>
      <c r="F61" s="238"/>
      <c r="G61" s="237"/>
      <c r="H61" s="237"/>
      <c r="I61" s="237"/>
      <c r="J61" s="255">
        <f>SUM(J49:J60)</f>
        <v>19553.739819336555</v>
      </c>
      <c r="K61" s="256"/>
      <c r="M61" s="234" t="s">
        <v>386</v>
      </c>
      <c r="N61" s="235">
        <f t="shared" ref="N61" si="63">SUM(N49:N60)</f>
        <v>569327.57607498276</v>
      </c>
      <c r="O61" s="236"/>
      <c r="P61" s="317">
        <f t="shared" ref="P61" si="64">SUM(P49:P60)</f>
        <v>0.11386551521499655</v>
      </c>
      <c r="Q61" s="238"/>
      <c r="R61" s="237"/>
      <c r="S61" s="258">
        <f t="shared" ref="S61" si="65">SUM(S49:S60)</f>
        <v>177630.20373539472</v>
      </c>
      <c r="T61" s="256"/>
    </row>
    <row r="62" spans="2:20">
      <c r="B62" s="239" t="s">
        <v>387</v>
      </c>
      <c r="C62" s="240">
        <f>C61-J61</f>
        <v>549773.83625564619</v>
      </c>
      <c r="D62" s="241"/>
      <c r="E62" s="241"/>
      <c r="F62" s="241"/>
      <c r="G62" s="241"/>
      <c r="H62" s="241"/>
      <c r="I62" s="241"/>
      <c r="J62" s="260">
        <f>IFERROR(J61/C61,0)</f>
        <v>3.4345323573016687E-2</v>
      </c>
      <c r="K62" s="261"/>
      <c r="M62" s="239" t="s">
        <v>387</v>
      </c>
      <c r="N62" s="240">
        <f t="shared" ref="N62" si="66">N61-S61</f>
        <v>391697.37233958801</v>
      </c>
      <c r="O62" s="241"/>
      <c r="P62" s="241"/>
      <c r="Q62" s="241"/>
      <c r="R62" s="241"/>
      <c r="S62" s="263">
        <f>IFERROR(S61/N61,0)</f>
        <v>0.31200000000000017</v>
      </c>
      <c r="T62" s="318"/>
    </row>
    <row r="63" spans="2:20">
      <c r="B63" s="223">
        <v>49</v>
      </c>
      <c r="C63" s="229">
        <f>IF(C60=0,0,IF((C60/D63)&gt;F60,IF(F60=0,0,F60*D63),$C$2*((1+$F$2)^(1/12)-1)))</f>
        <v>47443.96467291523</v>
      </c>
      <c r="D63" s="230">
        <f>D60*(1+((1+$F$1)^(1/12)-1))</f>
        <v>15.884501593856033</v>
      </c>
      <c r="E63" s="230">
        <f>IF((C63/D63)&gt;F60,F60,(C63/D63))</f>
        <v>2986.8085185163181</v>
      </c>
      <c r="F63" s="232">
        <f>F60-E63</f>
        <v>314772.2306838982</v>
      </c>
      <c r="G63" s="230"/>
      <c r="H63" s="242">
        <f>E63*(D63-10)</f>
        <v>17575.879487752052</v>
      </c>
      <c r="I63" s="242">
        <f>IF($C$3="Balanced /Equity",0,E63*(D63-FV($F$3,4,,-10)))</f>
        <v>0</v>
      </c>
      <c r="J63" s="227">
        <f>IF($C$3="Balanced /Equity",H63*10.4%,I63*$F$4)</f>
        <v>1827.8914667262136</v>
      </c>
      <c r="K63" s="229">
        <f t="shared" ref="K63:K74" si="67">D63*F63</f>
        <v>5000000</v>
      </c>
      <c r="M63" s="223">
        <v>49</v>
      </c>
      <c r="N63" s="229">
        <f t="shared" ref="N63:N74" si="68">IF($L$4=1,$C$2*((1+$F$2)^(1/12)-1),$C$2*((1+$F$1)^(1/12)-1))</f>
        <v>47443.96467291523</v>
      </c>
      <c r="O63" s="242">
        <f t="shared" ref="O63:O74" si="69">IF($C$3="Balanced /Equity",N63*(1-E_DDT),N63*(1-D_DDT))</f>
        <v>32641.447694965675</v>
      </c>
      <c r="P63" s="316">
        <f>N63/(10*$F$6)</f>
        <v>9.4887929345830457E-3</v>
      </c>
      <c r="Q63" s="230">
        <f>10*(1+((1+$F$1)^(1/12)-1))</f>
        <v>10.09488792934583</v>
      </c>
      <c r="R63" s="230">
        <f>Q63-(P63*10)</f>
        <v>10</v>
      </c>
      <c r="S63" s="242">
        <f>N63-O63</f>
        <v>14802.516977949555</v>
      </c>
      <c r="T63" s="229">
        <f>$F$6*R63</f>
        <v>5000000</v>
      </c>
    </row>
    <row r="64" spans="2:20">
      <c r="B64" s="223">
        <v>50</v>
      </c>
      <c r="C64" s="229">
        <f>IF(C63=0,0,IF((C63/D64)&gt;F63,IF(F63=0,0,F63*D64),$C$2*((1+$F$2)^(1/12)-1)))</f>
        <v>47443.96467291523</v>
      </c>
      <c r="D64" s="230">
        <f>D63*(1+((1+$F$1)^(1/12)-1))</f>
        <v>16.035226340349187</v>
      </c>
      <c r="E64" s="230">
        <f t="shared" ref="E64:E74" si="70">IF((C64/D64)&gt;F63,F63,(C64/D64))</f>
        <v>2958.7337070218168</v>
      </c>
      <c r="F64" s="232">
        <f>F63-E64</f>
        <v>311813.4969768764</v>
      </c>
      <c r="G64" s="230"/>
      <c r="H64" s="242">
        <f t="shared" ref="H64:H74" si="71">E64*(D64-10)</f>
        <v>17856.627602697063</v>
      </c>
      <c r="I64" s="242">
        <f t="shared" ref="I64:I74" si="72">IF($C$3="Balanced /Equity",0,E64*(D64-FV($F$3,4,,-10)))</f>
        <v>0</v>
      </c>
      <c r="J64" s="227">
        <f t="shared" ref="J64:J74" si="73">IF($C$3="Balanced /Equity",H64*10.4%,I64*$F$4)</f>
        <v>1857.0892706804948</v>
      </c>
      <c r="K64" s="229">
        <f t="shared" si="67"/>
        <v>5000000</v>
      </c>
      <c r="M64" s="223">
        <v>50</v>
      </c>
      <c r="N64" s="229">
        <f t="shared" si="68"/>
        <v>47443.96467291523</v>
      </c>
      <c r="O64" s="242">
        <f t="shared" si="69"/>
        <v>32641.447694965675</v>
      </c>
      <c r="P64" s="316">
        <f t="shared" ref="P64:P74" si="74">N64/(10*$F$6)</f>
        <v>9.4887929345830457E-3</v>
      </c>
      <c r="Q64" s="230">
        <f t="shared" ref="Q64:Q74" si="75">10*(1+((1+$F$1)^(1/12)-1))</f>
        <v>10.09488792934583</v>
      </c>
      <c r="R64" s="230">
        <f t="shared" ref="R64:R74" si="76">Q64-(P64*10)</f>
        <v>10</v>
      </c>
      <c r="S64" s="242">
        <f t="shared" ref="S64:S74" si="77">N64-O64</f>
        <v>14802.516977949555</v>
      </c>
      <c r="T64" s="229">
        <f t="shared" ref="T64:T74" si="78">$F$6*R64</f>
        <v>5000000</v>
      </c>
    </row>
    <row r="65" spans="2:20">
      <c r="B65" s="223">
        <v>51</v>
      </c>
      <c r="C65" s="229">
        <f t="shared" ref="C65:C74" si="79">IF(C64=0,0,IF((C64/D65)&gt;F64,IF(F64=0,0,F64*D65),$C$2*((1+$F$2)^(1/12)-1)))</f>
        <v>47443.96467291523</v>
      </c>
      <c r="D65" s="230">
        <f t="shared" ref="D65:D74" si="80">D64*(1+((1+$F$1)^(1/12)-1))</f>
        <v>16.187381282751932</v>
      </c>
      <c r="E65" s="230">
        <f t="shared" si="70"/>
        <v>2930.9227875831889</v>
      </c>
      <c r="F65" s="232">
        <f t="shared" ref="F65:F74" si="81">F64-E65</f>
        <v>308882.5741892932</v>
      </c>
      <c r="G65" s="230"/>
      <c r="H65" s="242">
        <f t="shared" si="71"/>
        <v>18134.73679708334</v>
      </c>
      <c r="I65" s="242">
        <f t="shared" si="72"/>
        <v>0</v>
      </c>
      <c r="J65" s="227">
        <f t="shared" si="73"/>
        <v>1886.0126268966676</v>
      </c>
      <c r="K65" s="229">
        <f t="shared" si="67"/>
        <v>5000000</v>
      </c>
      <c r="M65" s="223">
        <v>51</v>
      </c>
      <c r="N65" s="229">
        <f t="shared" si="68"/>
        <v>47443.96467291523</v>
      </c>
      <c r="O65" s="242">
        <f t="shared" si="69"/>
        <v>32641.447694965675</v>
      </c>
      <c r="P65" s="316">
        <f t="shared" si="74"/>
        <v>9.4887929345830457E-3</v>
      </c>
      <c r="Q65" s="230">
        <f t="shared" si="75"/>
        <v>10.09488792934583</v>
      </c>
      <c r="R65" s="230">
        <f t="shared" si="76"/>
        <v>10</v>
      </c>
      <c r="S65" s="242">
        <f t="shared" si="77"/>
        <v>14802.516977949555</v>
      </c>
      <c r="T65" s="229">
        <f t="shared" si="78"/>
        <v>5000000</v>
      </c>
    </row>
    <row r="66" spans="2:20">
      <c r="B66" s="223">
        <v>52</v>
      </c>
      <c r="C66" s="229">
        <f t="shared" si="79"/>
        <v>47443.96467291523</v>
      </c>
      <c r="D66" s="230">
        <f t="shared" si="80"/>
        <v>16.340979991897111</v>
      </c>
      <c r="E66" s="230">
        <f t="shared" si="70"/>
        <v>2903.3732797201233</v>
      </c>
      <c r="F66" s="232">
        <f t="shared" si="81"/>
        <v>305979.20090957306</v>
      </c>
      <c r="G66" s="230"/>
      <c r="H66" s="242">
        <f t="shared" si="71"/>
        <v>18410.231875713995</v>
      </c>
      <c r="I66" s="242">
        <f t="shared" si="72"/>
        <v>0</v>
      </c>
      <c r="J66" s="227">
        <f t="shared" si="73"/>
        <v>1914.6641150742555</v>
      </c>
      <c r="K66" s="229">
        <f t="shared" si="67"/>
        <v>5000000</v>
      </c>
      <c r="M66" s="223">
        <v>52</v>
      </c>
      <c r="N66" s="229">
        <f t="shared" si="68"/>
        <v>47443.96467291523</v>
      </c>
      <c r="O66" s="242">
        <f t="shared" si="69"/>
        <v>32641.447694965675</v>
      </c>
      <c r="P66" s="316">
        <f t="shared" si="74"/>
        <v>9.4887929345830457E-3</v>
      </c>
      <c r="Q66" s="230">
        <f t="shared" si="75"/>
        <v>10.09488792934583</v>
      </c>
      <c r="R66" s="230">
        <f t="shared" si="76"/>
        <v>10</v>
      </c>
      <c r="S66" s="242">
        <f t="shared" si="77"/>
        <v>14802.516977949555</v>
      </c>
      <c r="T66" s="229">
        <f t="shared" si="78"/>
        <v>5000000</v>
      </c>
    </row>
    <row r="67" spans="2:20">
      <c r="B67" s="223">
        <v>53</v>
      </c>
      <c r="C67" s="229">
        <f t="shared" si="79"/>
        <v>47443.96467291523</v>
      </c>
      <c r="D67" s="230">
        <f t="shared" si="80"/>
        <v>16.496036167388386</v>
      </c>
      <c r="E67" s="230">
        <f t="shared" si="70"/>
        <v>2876.0827262678372</v>
      </c>
      <c r="F67" s="232">
        <f t="shared" si="81"/>
        <v>303103.1181833052</v>
      </c>
      <c r="G67" s="230"/>
      <c r="H67" s="242">
        <f t="shared" si="71"/>
        <v>18683.137410236861</v>
      </c>
      <c r="I67" s="242">
        <f t="shared" si="72"/>
        <v>0</v>
      </c>
      <c r="J67" s="227">
        <f t="shared" si="73"/>
        <v>1943.0462906646337</v>
      </c>
      <c r="K67" s="229">
        <f t="shared" si="67"/>
        <v>4999999.9999999991</v>
      </c>
      <c r="M67" s="223">
        <v>53</v>
      </c>
      <c r="N67" s="229">
        <f t="shared" si="68"/>
        <v>47443.96467291523</v>
      </c>
      <c r="O67" s="242">
        <f t="shared" si="69"/>
        <v>32641.447694965675</v>
      </c>
      <c r="P67" s="316">
        <f t="shared" si="74"/>
        <v>9.4887929345830457E-3</v>
      </c>
      <c r="Q67" s="230">
        <f t="shared" si="75"/>
        <v>10.09488792934583</v>
      </c>
      <c r="R67" s="230">
        <f t="shared" si="76"/>
        <v>10</v>
      </c>
      <c r="S67" s="242">
        <f t="shared" si="77"/>
        <v>14802.516977949555</v>
      </c>
      <c r="T67" s="229">
        <f t="shared" si="78"/>
        <v>5000000</v>
      </c>
    </row>
    <row r="68" spans="2:20">
      <c r="B68" s="223">
        <v>54</v>
      </c>
      <c r="C68" s="229">
        <f t="shared" si="79"/>
        <v>47443.96467291523</v>
      </c>
      <c r="D68" s="230">
        <f t="shared" si="80"/>
        <v>16.652563638822127</v>
      </c>
      <c r="E68" s="230">
        <f t="shared" si="70"/>
        <v>2849.0486931579171</v>
      </c>
      <c r="F68" s="232">
        <f t="shared" si="81"/>
        <v>300254.06949014729</v>
      </c>
      <c r="G68" s="230"/>
      <c r="H68" s="242">
        <f t="shared" si="71"/>
        <v>18953.477741336057</v>
      </c>
      <c r="I68" s="242">
        <f t="shared" si="72"/>
        <v>0</v>
      </c>
      <c r="J68" s="227">
        <f t="shared" si="73"/>
        <v>1971.1616850989501</v>
      </c>
      <c r="K68" s="229">
        <f t="shared" si="67"/>
        <v>4999999.9999999991</v>
      </c>
      <c r="M68" s="223">
        <v>54</v>
      </c>
      <c r="N68" s="229">
        <f t="shared" si="68"/>
        <v>47443.96467291523</v>
      </c>
      <c r="O68" s="242">
        <f t="shared" si="69"/>
        <v>32641.447694965675</v>
      </c>
      <c r="P68" s="316">
        <f t="shared" si="74"/>
        <v>9.4887929345830457E-3</v>
      </c>
      <c r="Q68" s="230">
        <f t="shared" si="75"/>
        <v>10.09488792934583</v>
      </c>
      <c r="R68" s="230">
        <f t="shared" si="76"/>
        <v>10</v>
      </c>
      <c r="S68" s="242">
        <f t="shared" si="77"/>
        <v>14802.516977949555</v>
      </c>
      <c r="T68" s="229">
        <f t="shared" si="78"/>
        <v>5000000</v>
      </c>
    </row>
    <row r="69" spans="2:20">
      <c r="B69" s="223">
        <v>55</v>
      </c>
      <c r="C69" s="229">
        <f t="shared" si="79"/>
        <v>47443.96467291523</v>
      </c>
      <c r="D69" s="230">
        <f t="shared" si="80"/>
        <v>16.810576367020875</v>
      </c>
      <c r="E69" s="230">
        <f t="shared" si="70"/>
        <v>2822.2687692012264</v>
      </c>
      <c r="F69" s="232">
        <f t="shared" si="81"/>
        <v>297431.80072094605</v>
      </c>
      <c r="G69" s="230"/>
      <c r="H69" s="242">
        <f t="shared" si="71"/>
        <v>19221.276980902967</v>
      </c>
      <c r="I69" s="242">
        <f t="shared" si="72"/>
        <v>0</v>
      </c>
      <c r="J69" s="227">
        <f t="shared" si="73"/>
        <v>1999.0128060139086</v>
      </c>
      <c r="K69" s="229">
        <f t="shared" si="67"/>
        <v>4999999.9999999981</v>
      </c>
      <c r="M69" s="223">
        <v>55</v>
      </c>
      <c r="N69" s="229">
        <f t="shared" si="68"/>
        <v>47443.96467291523</v>
      </c>
      <c r="O69" s="242">
        <f t="shared" si="69"/>
        <v>32641.447694965675</v>
      </c>
      <c r="P69" s="316">
        <f t="shared" si="74"/>
        <v>9.4887929345830457E-3</v>
      </c>
      <c r="Q69" s="230">
        <f t="shared" si="75"/>
        <v>10.09488792934583</v>
      </c>
      <c r="R69" s="230">
        <f t="shared" si="76"/>
        <v>10</v>
      </c>
      <c r="S69" s="242">
        <f t="shared" si="77"/>
        <v>14802.516977949555</v>
      </c>
      <c r="T69" s="229">
        <f t="shared" si="78"/>
        <v>5000000</v>
      </c>
    </row>
    <row r="70" spans="2:20">
      <c r="B70" s="223">
        <v>56</v>
      </c>
      <c r="C70" s="229">
        <f t="shared" si="79"/>
        <v>47443.96467291523</v>
      </c>
      <c r="D70" s="230">
        <f t="shared" si="80"/>
        <v>16.970088445278531</v>
      </c>
      <c r="E70" s="230">
        <f t="shared" si="70"/>
        <v>2795.7405658728449</v>
      </c>
      <c r="F70" s="232">
        <f t="shared" si="81"/>
        <v>294636.06015507318</v>
      </c>
      <c r="G70" s="230"/>
      <c r="H70" s="242">
        <f t="shared" si="71"/>
        <v>19486.559014186776</v>
      </c>
      <c r="I70" s="242">
        <f t="shared" si="72"/>
        <v>0</v>
      </c>
      <c r="J70" s="227">
        <f t="shared" si="73"/>
        <v>2026.6021374754248</v>
      </c>
      <c r="K70" s="229">
        <f t="shared" si="67"/>
        <v>4999999.9999999972</v>
      </c>
      <c r="M70" s="223">
        <v>56</v>
      </c>
      <c r="N70" s="229">
        <f t="shared" si="68"/>
        <v>47443.96467291523</v>
      </c>
      <c r="O70" s="242">
        <f t="shared" si="69"/>
        <v>32641.447694965675</v>
      </c>
      <c r="P70" s="316">
        <f t="shared" si="74"/>
        <v>9.4887929345830457E-3</v>
      </c>
      <c r="Q70" s="230">
        <f t="shared" si="75"/>
        <v>10.09488792934583</v>
      </c>
      <c r="R70" s="230">
        <f t="shared" si="76"/>
        <v>10</v>
      </c>
      <c r="S70" s="242">
        <f t="shared" si="77"/>
        <v>14802.516977949555</v>
      </c>
      <c r="T70" s="229">
        <f t="shared" si="78"/>
        <v>5000000</v>
      </c>
    </row>
    <row r="71" spans="2:20">
      <c r="B71" s="223">
        <v>57</v>
      </c>
      <c r="C71" s="229">
        <f t="shared" si="79"/>
        <v>47443.96467291523</v>
      </c>
      <c r="D71" s="230">
        <f t="shared" si="80"/>
        <v>17.131114100617339</v>
      </c>
      <c r="E71" s="230">
        <f t="shared" si="70"/>
        <v>2769.4617170990377</v>
      </c>
      <c r="F71" s="232">
        <f t="shared" si="81"/>
        <v>291866.59843797417</v>
      </c>
      <c r="G71" s="230"/>
      <c r="H71" s="242">
        <f t="shared" si="71"/>
        <v>19749.347501924854</v>
      </c>
      <c r="I71" s="242">
        <f t="shared" si="72"/>
        <v>0</v>
      </c>
      <c r="J71" s="227">
        <f t="shared" si="73"/>
        <v>2053.9321402001851</v>
      </c>
      <c r="K71" s="229">
        <f t="shared" si="67"/>
        <v>4999999.9999999981</v>
      </c>
      <c r="M71" s="223">
        <v>57</v>
      </c>
      <c r="N71" s="229">
        <f t="shared" si="68"/>
        <v>47443.96467291523</v>
      </c>
      <c r="O71" s="242">
        <f t="shared" si="69"/>
        <v>32641.447694965675</v>
      </c>
      <c r="P71" s="316">
        <f t="shared" si="74"/>
        <v>9.4887929345830457E-3</v>
      </c>
      <c r="Q71" s="230">
        <f t="shared" si="75"/>
        <v>10.09488792934583</v>
      </c>
      <c r="R71" s="230">
        <f t="shared" si="76"/>
        <v>10</v>
      </c>
      <c r="S71" s="242">
        <f t="shared" si="77"/>
        <v>14802.516977949555</v>
      </c>
      <c r="T71" s="229">
        <f t="shared" si="78"/>
        <v>5000000</v>
      </c>
    </row>
    <row r="72" spans="2:20">
      <c r="B72" s="223">
        <v>58</v>
      </c>
      <c r="C72" s="229">
        <f t="shared" si="79"/>
        <v>47443.96467291523</v>
      </c>
      <c r="D72" s="230">
        <f t="shared" si="80"/>
        <v>17.293667695056811</v>
      </c>
      <c r="E72" s="230">
        <f t="shared" si="70"/>
        <v>2743.4298790462199</v>
      </c>
      <c r="F72" s="232">
        <f t="shared" si="81"/>
        <v>289123.16855892795</v>
      </c>
      <c r="G72" s="230"/>
      <c r="H72" s="242">
        <f t="shared" si="71"/>
        <v>20009.665882453028</v>
      </c>
      <c r="I72" s="242">
        <f t="shared" si="72"/>
        <v>0</v>
      </c>
      <c r="J72" s="227">
        <f t="shared" si="73"/>
        <v>2081.0052517751151</v>
      </c>
      <c r="K72" s="229">
        <f t="shared" si="67"/>
        <v>4999999.9999999972</v>
      </c>
      <c r="M72" s="223">
        <v>58</v>
      </c>
      <c r="N72" s="229">
        <f t="shared" si="68"/>
        <v>47443.96467291523</v>
      </c>
      <c r="O72" s="242">
        <f t="shared" si="69"/>
        <v>32641.447694965675</v>
      </c>
      <c r="P72" s="316">
        <f t="shared" si="74"/>
        <v>9.4887929345830457E-3</v>
      </c>
      <c r="Q72" s="230">
        <f t="shared" si="75"/>
        <v>10.09488792934583</v>
      </c>
      <c r="R72" s="230">
        <f t="shared" si="76"/>
        <v>10</v>
      </c>
      <c r="S72" s="242">
        <f t="shared" si="77"/>
        <v>14802.516977949555</v>
      </c>
      <c r="T72" s="229">
        <f t="shared" si="78"/>
        <v>5000000</v>
      </c>
    </row>
    <row r="73" spans="2:20">
      <c r="B73" s="223">
        <v>59</v>
      </c>
      <c r="C73" s="229">
        <f t="shared" si="79"/>
        <v>47443.96467291523</v>
      </c>
      <c r="D73" s="230">
        <f t="shared" si="80"/>
        <v>17.457763726894694</v>
      </c>
      <c r="E73" s="230">
        <f t="shared" si="70"/>
        <v>2717.6427299119109</v>
      </c>
      <c r="F73" s="232">
        <f t="shared" si="81"/>
        <v>286405.52582901606</v>
      </c>
      <c r="G73" s="230"/>
      <c r="H73" s="242">
        <f t="shared" si="71"/>
        <v>20267.537373796124</v>
      </c>
      <c r="I73" s="242">
        <f t="shared" si="72"/>
        <v>0</v>
      </c>
      <c r="J73" s="227">
        <f t="shared" si="73"/>
        <v>2107.8238868747972</v>
      </c>
      <c r="K73" s="229">
        <f t="shared" si="67"/>
        <v>4999999.9999999981</v>
      </c>
      <c r="M73" s="223">
        <v>59</v>
      </c>
      <c r="N73" s="229">
        <f t="shared" si="68"/>
        <v>47443.96467291523</v>
      </c>
      <c r="O73" s="242">
        <f t="shared" si="69"/>
        <v>32641.447694965675</v>
      </c>
      <c r="P73" s="316">
        <f t="shared" si="74"/>
        <v>9.4887929345830457E-3</v>
      </c>
      <c r="Q73" s="230">
        <f t="shared" si="75"/>
        <v>10.09488792934583</v>
      </c>
      <c r="R73" s="230">
        <f t="shared" si="76"/>
        <v>10</v>
      </c>
      <c r="S73" s="242">
        <f t="shared" si="77"/>
        <v>14802.516977949555</v>
      </c>
      <c r="T73" s="229">
        <f t="shared" si="78"/>
        <v>5000000</v>
      </c>
    </row>
    <row r="74" spans="2:20">
      <c r="B74" s="223">
        <v>60</v>
      </c>
      <c r="C74" s="229">
        <f t="shared" si="79"/>
        <v>47443.96467291523</v>
      </c>
      <c r="D74" s="230">
        <f t="shared" si="80"/>
        <v>17.623416832000071</v>
      </c>
      <c r="E74" s="230">
        <f t="shared" si="70"/>
        <v>2692.097969717649</v>
      </c>
      <c r="F74" s="227">
        <f t="shared" si="81"/>
        <v>283713.42785929842</v>
      </c>
      <c r="G74" s="230"/>
      <c r="H74" s="242">
        <f t="shared" si="71"/>
        <v>20522.984975738742</v>
      </c>
      <c r="I74" s="242">
        <f t="shared" si="72"/>
        <v>0</v>
      </c>
      <c r="J74" s="227">
        <f t="shared" si="73"/>
        <v>2134.3904374768294</v>
      </c>
      <c r="K74" s="229">
        <f t="shared" si="67"/>
        <v>4999999.9999999981</v>
      </c>
      <c r="M74" s="223">
        <v>60</v>
      </c>
      <c r="N74" s="229">
        <f t="shared" si="68"/>
        <v>47443.96467291523</v>
      </c>
      <c r="O74" s="242">
        <f t="shared" si="69"/>
        <v>32641.447694965675</v>
      </c>
      <c r="P74" s="316">
        <f t="shared" si="74"/>
        <v>9.4887929345830457E-3</v>
      </c>
      <c r="Q74" s="230">
        <f t="shared" si="75"/>
        <v>10.09488792934583</v>
      </c>
      <c r="R74" s="230">
        <f t="shared" si="76"/>
        <v>10</v>
      </c>
      <c r="S74" s="242">
        <f t="shared" si="77"/>
        <v>14802.516977949555</v>
      </c>
      <c r="T74" s="229">
        <f t="shared" si="78"/>
        <v>5000000</v>
      </c>
    </row>
    <row r="75" spans="2:20">
      <c r="B75" s="234" t="s">
        <v>386</v>
      </c>
      <c r="C75" s="235">
        <f>SUM(C63:C74)</f>
        <v>569327.57607498276</v>
      </c>
      <c r="D75" s="236"/>
      <c r="E75" s="237"/>
      <c r="F75" s="238"/>
      <c r="G75" s="237"/>
      <c r="H75" s="237"/>
      <c r="I75" s="237"/>
      <c r="J75" s="255">
        <f>SUM(J63:J74)</f>
        <v>23802.632114957476</v>
      </c>
      <c r="K75" s="256"/>
      <c r="M75" s="234" t="s">
        <v>386</v>
      </c>
      <c r="N75" s="235">
        <f t="shared" ref="N75" si="82">SUM(N63:N74)</f>
        <v>569327.57607498276</v>
      </c>
      <c r="O75" s="236"/>
      <c r="P75" s="317">
        <f t="shared" ref="P75" si="83">SUM(P63:P74)</f>
        <v>0.11386551521499655</v>
      </c>
      <c r="Q75" s="238"/>
      <c r="R75" s="237"/>
      <c r="S75" s="258">
        <f t="shared" ref="S75" si="84">SUM(S63:S74)</f>
        <v>177630.20373539472</v>
      </c>
      <c r="T75" s="256"/>
    </row>
    <row r="76" spans="2:20">
      <c r="B76" s="239" t="s">
        <v>387</v>
      </c>
      <c r="C76" s="240">
        <f>C75-J75</f>
        <v>545524.94396002532</v>
      </c>
      <c r="D76" s="241"/>
      <c r="E76" s="241"/>
      <c r="F76" s="241"/>
      <c r="G76" s="241"/>
      <c r="H76" s="241"/>
      <c r="I76" s="241"/>
      <c r="J76" s="260">
        <f>IFERROR(J75/C75,0)</f>
        <v>4.180832461876495E-2</v>
      </c>
      <c r="K76" s="261"/>
      <c r="M76" s="239" t="s">
        <v>387</v>
      </c>
      <c r="N76" s="240">
        <f t="shared" ref="N76" si="85">N75-S75</f>
        <v>391697.37233958801</v>
      </c>
      <c r="O76" s="241"/>
      <c r="P76" s="241"/>
      <c r="Q76" s="241"/>
      <c r="R76" s="241"/>
      <c r="S76" s="263">
        <f>IFERROR(S75/N75,0)</f>
        <v>0.31200000000000017</v>
      </c>
      <c r="T76" s="318"/>
    </row>
  </sheetData>
  <sheetProtection algorithmName="SHA-512" hashValue="fbxtFWyADvAwbyKcXv5o8uiqknZZIZ6jTXRo/UzifDt+CUj/PiDuhJcMHSBSLIjqti6WhhVda+DlMJRNn9EWVw==" saltValue="fnTapdYJHAJ+r7CKI7NXqw==" spinCount="100000" sheet="1" objects="1" formatColumns="0"/>
  <mergeCells count="8">
    <mergeCell ref="G4:I4"/>
    <mergeCell ref="B3:B4"/>
    <mergeCell ref="C3:C4"/>
    <mergeCell ref="G1:I1"/>
    <mergeCell ref="D2:E2"/>
    <mergeCell ref="G2:I2"/>
    <mergeCell ref="D3:E3"/>
    <mergeCell ref="G3:I3"/>
  </mergeCells>
  <pageMargins left="0.7" right="0.7" top="0.75" bottom="0.75" header="0.3" footer="0.3"/>
  <pageSetup scale="92" orientation="landscape" cellComments="asDisplayed"/>
  <colBreaks count="1" manualBreakCount="1">
    <brk id="11" max="1048575" man="1"/>
  </colBreaks>
  <drawing r:id="rId1"/>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B1:P20"/>
  <sheetViews>
    <sheetView showGridLines="0" workbookViewId="0"/>
  </sheetViews>
  <sheetFormatPr defaultColWidth="8.6640625" defaultRowHeight="14.4"/>
  <cols>
    <col min="1" max="1" width="1.88671875" style="268" customWidth="1"/>
    <col min="2" max="2" width="14.6640625" style="268" customWidth="1"/>
    <col min="3" max="7" width="12.88671875" style="268" customWidth="1"/>
    <col min="8" max="8" width="1.88671875" style="268" customWidth="1"/>
    <col min="9" max="12" width="12.88671875" style="268" customWidth="1"/>
    <col min="13" max="14" width="8.6640625" style="268"/>
    <col min="15" max="15" width="8.6640625" style="268" hidden="1" customWidth="1"/>
    <col min="16" max="16384" width="8.6640625" style="268"/>
  </cols>
  <sheetData>
    <row r="1" spans="2:16">
      <c r="B1" s="895" t="s">
        <v>344</v>
      </c>
      <c r="C1" s="895"/>
      <c r="G1" s="269" t="s">
        <v>345</v>
      </c>
      <c r="K1" s="269" t="s">
        <v>388</v>
      </c>
    </row>
    <row r="2" spans="2:16" s="267" customFormat="1" ht="20.100000000000001" customHeight="1">
      <c r="B2" s="896"/>
      <c r="C2" s="896"/>
      <c r="G2" s="918" t="s">
        <v>347</v>
      </c>
      <c r="H2" s="918"/>
      <c r="I2" s="918"/>
      <c r="K2" s="299" t="s">
        <v>389</v>
      </c>
      <c r="L2" s="300">
        <f>IF(K2="Similar to FD",((1+I4)^(1/12)-1)*12,"Mention below")</f>
        <v>7.7208361320041163E-2</v>
      </c>
      <c r="O2" s="267" t="s">
        <v>347</v>
      </c>
    </row>
    <row r="3" spans="2:16" s="267" customFormat="1" ht="20.100000000000001" customHeight="1">
      <c r="B3" s="270" t="s">
        <v>301</v>
      </c>
      <c r="C3" s="271">
        <v>10000000</v>
      </c>
      <c r="L3" s="301">
        <v>0.08</v>
      </c>
      <c r="O3" s="267" t="s">
        <v>350</v>
      </c>
    </row>
    <row r="4" spans="2:16" s="267" customFormat="1" ht="20.100000000000001" customHeight="1">
      <c r="B4" s="270" t="s">
        <v>310</v>
      </c>
      <c r="C4" s="272">
        <v>0.312</v>
      </c>
      <c r="G4" s="273" t="s">
        <v>390</v>
      </c>
      <c r="H4" s="274"/>
      <c r="I4" s="302">
        <v>0.08</v>
      </c>
      <c r="K4" s="919" t="s">
        <v>391</v>
      </c>
      <c r="L4" s="919"/>
    </row>
    <row r="5" spans="2:16" s="267" customFormat="1" ht="20.100000000000001" customHeight="1">
      <c r="B5" s="270" t="s">
        <v>29</v>
      </c>
      <c r="C5" s="275">
        <v>7.0000000000000007E-2</v>
      </c>
      <c r="G5" s="276" t="s">
        <v>392</v>
      </c>
      <c r="H5" s="277"/>
      <c r="I5" s="302">
        <v>0.08</v>
      </c>
      <c r="K5" s="903">
        <f>((1+I5)^(1/12)-1)*12</f>
        <v>7.7208361320041163E-2</v>
      </c>
      <c r="L5" s="903"/>
    </row>
    <row r="6" spans="2:16">
      <c r="B6" s="898" t="str">
        <f>IF(ISBLANK(G2),"SUMMARY CASH-FLOW for 5 years in case of SWP from Debt Fund vs. Interest Payout (FD)","SUMMARY CASH-FLOW for 5 years in case of SWP from "&amp;G2&amp;" vs. Interest Payout (FD)")</f>
        <v>SUMMARY CASH-FLOW for 5 years in case of SWP from Balanced /Equity vs. Interest Payout (FD)</v>
      </c>
      <c r="C6" s="898"/>
      <c r="D6" s="898"/>
      <c r="E6" s="898"/>
      <c r="F6" s="898"/>
      <c r="G6" s="898"/>
      <c r="H6" s="898"/>
      <c r="I6" s="898"/>
      <c r="J6" s="898"/>
      <c r="K6" s="898"/>
      <c r="L6" s="898"/>
      <c r="M6" s="897" t="s">
        <v>393</v>
      </c>
      <c r="N6" s="897"/>
      <c r="O6" s="897"/>
      <c r="P6" s="897"/>
    </row>
    <row r="7" spans="2:16">
      <c r="B7" s="898"/>
      <c r="C7" s="898"/>
      <c r="D7" s="898"/>
      <c r="E7" s="898"/>
      <c r="F7" s="898"/>
      <c r="G7" s="898"/>
      <c r="H7" s="898"/>
      <c r="I7" s="898"/>
      <c r="J7" s="898"/>
      <c r="K7" s="898"/>
      <c r="L7" s="898"/>
      <c r="M7" s="897"/>
      <c r="N7" s="897"/>
      <c r="O7" s="897"/>
      <c r="P7" s="897"/>
    </row>
    <row r="8" spans="2:16">
      <c r="B8" s="278" t="str">
        <f>"SWP from "&amp;IF(ISBLANK(G2),"Debt Fund",G2)</f>
        <v>SWP from Balanced /Equity</v>
      </c>
      <c r="I8" s="278" t="s">
        <v>394</v>
      </c>
      <c r="M8" s="897"/>
      <c r="N8" s="897"/>
      <c r="O8" s="897"/>
      <c r="P8" s="897"/>
    </row>
    <row r="9" spans="2:16" s="267" customFormat="1" ht="28.8">
      <c r="B9" s="279" t="s">
        <v>94</v>
      </c>
      <c r="C9" s="280" t="s">
        <v>148</v>
      </c>
      <c r="D9" s="281" t="s">
        <v>352</v>
      </c>
      <c r="E9" s="281" t="s">
        <v>353</v>
      </c>
      <c r="F9" s="281" t="s">
        <v>354</v>
      </c>
      <c r="G9" s="282" t="s">
        <v>355</v>
      </c>
      <c r="I9" s="279" t="s">
        <v>94</v>
      </c>
      <c r="J9" s="280" t="s">
        <v>148</v>
      </c>
      <c r="K9" s="281" t="s">
        <v>356</v>
      </c>
      <c r="L9" s="282" t="s">
        <v>355</v>
      </c>
      <c r="M9" s="897"/>
      <c r="N9" s="897"/>
      <c r="O9" s="897"/>
      <c r="P9" s="897"/>
    </row>
    <row r="10" spans="2:16" s="267" customFormat="1" ht="20.100000000000001" customHeight="1">
      <c r="B10" s="182">
        <v>1</v>
      </c>
      <c r="C10" s="283">
        <f>'SWP_CashFlow (3)'!C19</f>
        <v>772083.61320041155</v>
      </c>
      <c r="D10" s="284">
        <f>'SWP_CashFlow (3)'!J19</f>
        <v>4701.430868951059</v>
      </c>
      <c r="E10" s="285"/>
      <c r="F10" s="286">
        <f>D10+E10</f>
        <v>4701.430868951059</v>
      </c>
      <c r="G10" s="287">
        <f>'SWP_CashFlow (3)'!J20</f>
        <v>6.0892768458883188E-3</v>
      </c>
      <c r="I10" s="182">
        <v>1</v>
      </c>
      <c r="J10" s="286">
        <f>'SWP_CashFlow (3)'!N19</f>
        <v>772083.61320041155</v>
      </c>
      <c r="K10" s="286">
        <f>'SWP_CashFlow (3)'!O19</f>
        <v>240890.08731852847</v>
      </c>
      <c r="L10" s="303">
        <f>'SWP_CashFlow (3)'!O20</f>
        <v>0.31200000000000011</v>
      </c>
      <c r="M10" s="897"/>
      <c r="N10" s="897"/>
      <c r="O10" s="897"/>
      <c r="P10" s="897"/>
    </row>
    <row r="11" spans="2:16" s="267" customFormat="1" ht="20.100000000000001" customHeight="1">
      <c r="B11" s="182">
        <v>2</v>
      </c>
      <c r="C11" s="283">
        <f>'SWP_CashFlow (3)'!C33</f>
        <v>772083.61320041155</v>
      </c>
      <c r="D11" s="169">
        <f>IF(OR(ISBLANK(G2),G2="Debt Fund"),'SWP_CashFlow (3)'!J33,0)</f>
        <v>0</v>
      </c>
      <c r="E11" s="288">
        <f>IF(G2="Balanced /Equity",'SWP_CashFlow (3)'!J33,0)</f>
        <v>8966.1059237346926</v>
      </c>
      <c r="F11" s="286">
        <f t="shared" ref="F11:F14" si="0">D11+E11</f>
        <v>8966.1059237346926</v>
      </c>
      <c r="G11" s="287">
        <f>'SWP_CashFlow (3)'!J34</f>
        <v>1.1612869086249263E-2</v>
      </c>
      <c r="I11" s="182">
        <v>2</v>
      </c>
      <c r="J11" s="286">
        <f>'SWP_CashFlow (3)'!N33</f>
        <v>772083.61320041155</v>
      </c>
      <c r="K11" s="286">
        <f>'SWP_CashFlow (3)'!O33</f>
        <v>240890.08731852847</v>
      </c>
      <c r="L11" s="303">
        <f>'SWP_CashFlow (3)'!O34</f>
        <v>0.31200000000000011</v>
      </c>
      <c r="M11" s="897"/>
      <c r="N11" s="897"/>
      <c r="O11" s="897"/>
      <c r="P11" s="897"/>
    </row>
    <row r="12" spans="2:16" s="267" customFormat="1" ht="20.100000000000001" customHeight="1">
      <c r="B12" s="182">
        <v>3</v>
      </c>
      <c r="C12" s="283">
        <f>'SWP_CashFlow (3)'!C47</f>
        <v>772083.61320041155</v>
      </c>
      <c r="D12" s="169">
        <f>IF(OR(ISBLANK(G2),G2="Debt Fund"),'SWP_CashFlow (3)'!J47,0)</f>
        <v>0</v>
      </c>
      <c r="E12" s="288">
        <f>IF(G2="Balanced /Equity",'SWP_CashFlow (3)'!J47,0)</f>
        <v>14249.85331996489</v>
      </c>
      <c r="F12" s="286">
        <f t="shared" si="0"/>
        <v>14249.85331996489</v>
      </c>
      <c r="G12" s="287">
        <f>'SWP_CashFlow (3)'!J48</f>
        <v>1.845636026504557E-2</v>
      </c>
      <c r="I12" s="182">
        <v>3</v>
      </c>
      <c r="J12" s="286">
        <f>'SWP_CashFlow (3)'!N47</f>
        <v>772083.61320041155</v>
      </c>
      <c r="K12" s="286">
        <f>'SWP_CashFlow (3)'!O47</f>
        <v>240890.08731852847</v>
      </c>
      <c r="L12" s="303">
        <f>'SWP_CashFlow (3)'!O48</f>
        <v>0.31200000000000011</v>
      </c>
      <c r="M12" s="897"/>
      <c r="N12" s="897"/>
      <c r="O12" s="897"/>
      <c r="P12" s="897"/>
    </row>
    <row r="13" spans="2:16" s="267" customFormat="1" ht="20.100000000000001" customHeight="1">
      <c r="B13" s="182">
        <v>4</v>
      </c>
      <c r="C13" s="283">
        <f>'SWP_CashFlow (3)'!C61</f>
        <v>772083.61320041155</v>
      </c>
      <c r="D13" s="285"/>
      <c r="E13" s="284">
        <f>'SWP_CashFlow (3)'!J61</f>
        <v>19142.21202017806</v>
      </c>
      <c r="F13" s="286">
        <f t="shared" si="0"/>
        <v>19142.21202017806</v>
      </c>
      <c r="G13" s="287">
        <f>'SWP_CashFlow (3)'!J62</f>
        <v>2.4792926171338481E-2</v>
      </c>
      <c r="I13" s="182">
        <v>4</v>
      </c>
      <c r="J13" s="286">
        <f>'SWP_CashFlow (3)'!N61</f>
        <v>772083.61320041155</v>
      </c>
      <c r="K13" s="286">
        <f>'SWP_CashFlow (3)'!O61</f>
        <v>240890.08731852847</v>
      </c>
      <c r="L13" s="303">
        <f>'SWP_CashFlow (3)'!O62</f>
        <v>0.31200000000000011</v>
      </c>
      <c r="M13" s="897"/>
      <c r="N13" s="897"/>
      <c r="O13" s="897"/>
      <c r="P13" s="897"/>
    </row>
    <row r="14" spans="2:16" s="267" customFormat="1" ht="20.100000000000001" customHeight="1">
      <c r="B14" s="182">
        <v>5</v>
      </c>
      <c r="C14" s="283">
        <f>'SWP_CashFlow (3)'!C75</f>
        <v>772083.61320041155</v>
      </c>
      <c r="D14" s="285"/>
      <c r="E14" s="284">
        <f>'SWP_CashFlow (3)'!J75</f>
        <v>23672.173779634704</v>
      </c>
      <c r="F14" s="286">
        <f t="shared" si="0"/>
        <v>23672.173779634704</v>
      </c>
      <c r="G14" s="287">
        <f>'SWP_CashFlow (3)'!J76</f>
        <v>3.0660116825313406E-2</v>
      </c>
      <c r="I14" s="182">
        <v>5</v>
      </c>
      <c r="J14" s="286">
        <f>'SWP_CashFlow (3)'!N75</f>
        <v>772083.61320041155</v>
      </c>
      <c r="K14" s="286">
        <f>'SWP_CashFlow (3)'!O75</f>
        <v>240890.08731852847</v>
      </c>
      <c r="L14" s="303">
        <f>'SWP_CashFlow (3)'!O76</f>
        <v>0.31200000000000011</v>
      </c>
      <c r="M14" s="897"/>
      <c r="N14" s="897"/>
      <c r="O14" s="897"/>
      <c r="P14" s="897"/>
    </row>
    <row r="15" spans="2:16" s="267" customFormat="1" ht="20.100000000000001" customHeight="1">
      <c r="B15" s="289" t="s">
        <v>357</v>
      </c>
      <c r="C15" s="290">
        <f>SUM(C10:C14)</f>
        <v>3860418.0660020579</v>
      </c>
      <c r="D15" s="291"/>
      <c r="E15" s="291"/>
      <c r="F15" s="292">
        <f>SUM(F10:F14)</f>
        <v>70731.775912463403</v>
      </c>
      <c r="G15" s="293">
        <f>SUM(G10:G14)/5</f>
        <v>1.8322309838767006E-2</v>
      </c>
      <c r="H15" s="294"/>
      <c r="I15" s="289" t="s">
        <v>357</v>
      </c>
      <c r="J15" s="290">
        <f>SUM(J10:J14)</f>
        <v>3860418.0660020579</v>
      </c>
      <c r="K15" s="290">
        <f>SUM(K10:K14)</f>
        <v>1204450.4365926425</v>
      </c>
      <c r="L15" s="293">
        <f>SUM(L10:L14)/5</f>
        <v>0.31200000000000011</v>
      </c>
      <c r="M15" s="897"/>
      <c r="N15" s="897"/>
      <c r="O15" s="897"/>
      <c r="P15" s="897"/>
    </row>
    <row r="16" spans="2:16">
      <c r="B16" s="295" t="s">
        <v>358</v>
      </c>
      <c r="C16" s="296"/>
      <c r="D16" s="297">
        <f>'SWP_CashFlow (3)'!K74</f>
        <v>10000000.000000002</v>
      </c>
      <c r="E16" s="296"/>
      <c r="F16" s="296"/>
      <c r="G16" s="298"/>
      <c r="I16" s="295" t="s">
        <v>358</v>
      </c>
      <c r="J16" s="296"/>
      <c r="K16" s="297">
        <f>'SWP_CashFlow (3)'!P74</f>
        <v>10000000</v>
      </c>
      <c r="L16" s="298"/>
      <c r="M16" s="897"/>
      <c r="N16" s="897"/>
      <c r="O16" s="897"/>
      <c r="P16" s="897"/>
    </row>
    <row r="18" spans="10:12" hidden="1">
      <c r="K18" s="916">
        <f>IF(ISTEXT(L2),L3,I4)</f>
        <v>0.08</v>
      </c>
      <c r="L18" s="917"/>
    </row>
    <row r="20" spans="10:12">
      <c r="J20" s="304"/>
      <c r="K20" s="304"/>
    </row>
  </sheetData>
  <sheetProtection password="F3D2" sheet="1" objects="1"/>
  <mergeCells count="7">
    <mergeCell ref="K18:L18"/>
    <mergeCell ref="M6:P16"/>
    <mergeCell ref="B1:C2"/>
    <mergeCell ref="B6:L7"/>
    <mergeCell ref="G2:I2"/>
    <mergeCell ref="K4:L4"/>
    <mergeCell ref="K5:L5"/>
  </mergeCells>
  <conditionalFormatting sqref="L3">
    <cfRule type="expression" dxfId="51" priority="1">
      <formula>$L$2="Mention below"</formula>
    </cfRule>
  </conditionalFormatting>
  <dataValidations count="3">
    <dataValidation type="list" allowBlank="1" showInputMessage="1" showErrorMessage="1" sqref="G2:I2" xr:uid="{00000000-0002-0000-1100-000000000000}">
      <formula1>Validation</formula1>
    </dataValidation>
    <dataValidation type="list" allowBlank="1" showInputMessage="1" showErrorMessage="1" sqref="C4" xr:uid="{00000000-0002-0000-1100-000001000000}">
      <formula1>TaxSlab</formula1>
    </dataValidation>
    <dataValidation type="list" allowBlank="1" showInputMessage="1" showErrorMessage="1" sqref="K2" xr:uid="{00000000-0002-0000-1100-000002000000}">
      <formula1>"Similar to FD, Diff. than FD"</formula1>
    </dataValidation>
  </dataValidations>
  <pageMargins left="0.7" right="0.7" top="0.75" bottom="0.75" header="0.3" footer="0.3"/>
  <pageSetup paperSize="9" scale="99" orientation="landscape"/>
  <colBreaks count="1" manualBreakCount="1">
    <brk id="12" max="1048575" man="1"/>
  </colBreaks>
  <drawing r:id="rId1"/>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B1:V76"/>
  <sheetViews>
    <sheetView showGridLines="0" workbookViewId="0">
      <pane ySplit="5" topLeftCell="A6" activePane="bottomLeft" state="frozen"/>
      <selection pane="bottomLeft" activeCell="C2" sqref="C2"/>
    </sheetView>
  </sheetViews>
  <sheetFormatPr defaultColWidth="8.6640625" defaultRowHeight="14.4"/>
  <cols>
    <col min="1" max="1" width="1.44140625" style="208" customWidth="1"/>
    <col min="2" max="2" width="9.5546875" style="208" customWidth="1"/>
    <col min="3" max="3" width="12.21875" style="208" customWidth="1"/>
    <col min="4" max="4" width="7" style="208" customWidth="1"/>
    <col min="5" max="5" width="11.33203125" style="208" customWidth="1"/>
    <col min="6" max="6" width="14.5546875" style="208" customWidth="1"/>
    <col min="7" max="7" width="10.88671875" style="208" customWidth="1"/>
    <col min="8" max="9" width="11.5546875" style="208" customWidth="1"/>
    <col min="10" max="10" width="12.21875" style="208" customWidth="1"/>
    <col min="11" max="11" width="13" style="208" customWidth="1"/>
    <col min="12" max="12" width="5" style="208" customWidth="1"/>
    <col min="13" max="13" width="6.5546875" style="208" customWidth="1"/>
    <col min="14" max="14" width="10.5546875" style="208" customWidth="1"/>
    <col min="15" max="15" width="11.44140625" style="208" customWidth="1"/>
    <col min="16" max="16" width="13" style="208" customWidth="1"/>
    <col min="17" max="17" width="10.5546875" style="208" customWidth="1"/>
    <col min="18" max="21" width="8.6640625" style="208"/>
    <col min="22" max="22" width="8.88671875" style="208" customWidth="1"/>
    <col min="23" max="16384" width="8.6640625" style="208"/>
  </cols>
  <sheetData>
    <row r="1" spans="2:22">
      <c r="B1" s="209" t="s">
        <v>395</v>
      </c>
      <c r="C1" s="209"/>
      <c r="D1" s="210" t="s">
        <v>360</v>
      </c>
      <c r="E1" s="211"/>
      <c r="F1" s="212">
        <f>'Debt_FD_SWP (3)'!I4</f>
        <v>0.08</v>
      </c>
      <c r="G1" s="911" t="s">
        <v>361</v>
      </c>
      <c r="H1" s="911"/>
      <c r="I1" s="911"/>
      <c r="L1" s="243"/>
      <c r="M1" s="244" t="s">
        <v>396</v>
      </c>
      <c r="N1" s="245"/>
      <c r="O1" s="246">
        <f>'Debt_FD_SWP (3)'!I5</f>
        <v>0.08</v>
      </c>
      <c r="P1"/>
      <c r="Q1" s="265"/>
      <c r="R1" s="265"/>
      <c r="V1" s="266"/>
    </row>
    <row r="2" spans="2:22">
      <c r="B2" s="213" t="s">
        <v>363</v>
      </c>
      <c r="C2" s="214">
        <f>'Debt_FD_SWP (3)'!C3</f>
        <v>10000000</v>
      </c>
      <c r="D2" s="923" t="s">
        <v>364</v>
      </c>
      <c r="E2" s="924"/>
      <c r="F2" s="212">
        <f>'Debt_FD_SWP (3)'!K18</f>
        <v>0.08</v>
      </c>
      <c r="G2" s="914" t="str">
        <f>IF(ISNA((INDEX(B7:C74,MATCH(0,C7:C74,0),1)-1)),"Yes!","No, it will last for "&amp;(INDEX(B7:C74,MATCH(0,C7:C74,0),1)-1)&amp;" months")</f>
        <v>Yes!</v>
      </c>
      <c r="H2" s="914"/>
      <c r="I2" s="914"/>
      <c r="K2" s="247">
        <f>IF(G2="Yes!",60,(INDEX(B7:C74,MATCH(0,C7:C74,0),1)-1))</f>
        <v>60</v>
      </c>
      <c r="L2" s="243"/>
      <c r="M2"/>
      <c r="N2"/>
      <c r="O2"/>
      <c r="P2"/>
      <c r="Q2" s="265"/>
      <c r="R2" s="266"/>
      <c r="V2" s="266"/>
    </row>
    <row r="3" spans="2:22">
      <c r="B3" s="920" t="s">
        <v>367</v>
      </c>
      <c r="C3" s="922" t="str">
        <f>'Debt_FD_SWP (3)'!G2</f>
        <v>Balanced /Equity</v>
      </c>
      <c r="D3" s="923" t="s">
        <v>29</v>
      </c>
      <c r="E3" s="924"/>
      <c r="F3" s="212">
        <f>'Debt_FD_SWP (3)'!C5</f>
        <v>7.0000000000000007E-2</v>
      </c>
      <c r="G3" s="915" t="s">
        <v>368</v>
      </c>
      <c r="H3" s="915"/>
      <c r="I3" s="915"/>
      <c r="K3" s="243"/>
      <c r="L3" s="243"/>
      <c r="M3"/>
      <c r="N3"/>
      <c r="O3"/>
      <c r="P3"/>
      <c r="Q3" s="265"/>
    </row>
    <row r="4" spans="2:22">
      <c r="B4" s="921"/>
      <c r="C4" s="922"/>
      <c r="D4" s="215" t="s">
        <v>370</v>
      </c>
      <c r="E4" s="216"/>
      <c r="F4" s="217">
        <f>'Debt_FD_SWP (3)'!C4</f>
        <v>0.312</v>
      </c>
      <c r="G4" s="907">
        <f>VLOOKUP(K2,B7:K74,10,0)</f>
        <v>10000000.000000002</v>
      </c>
      <c r="H4" s="907"/>
      <c r="I4" s="907"/>
      <c r="K4" s="243"/>
      <c r="L4" s="247">
        <f>IF(F2&gt;F1,0,1)</f>
        <v>1</v>
      </c>
      <c r="M4"/>
      <c r="N4"/>
      <c r="O4"/>
      <c r="P4"/>
    </row>
    <row r="5" spans="2:22" ht="28.8">
      <c r="B5" s="218" t="s">
        <v>371</v>
      </c>
      <c r="C5" s="219" t="s">
        <v>372</v>
      </c>
      <c r="D5" s="220" t="s">
        <v>373</v>
      </c>
      <c r="E5" s="221" t="s">
        <v>374</v>
      </c>
      <c r="F5" s="222" t="s">
        <v>375</v>
      </c>
      <c r="G5" s="222" t="s">
        <v>376</v>
      </c>
      <c r="H5" s="222" t="s">
        <v>377</v>
      </c>
      <c r="I5" s="219" t="s">
        <v>378</v>
      </c>
      <c r="J5" s="219" t="s">
        <v>379</v>
      </c>
      <c r="K5" s="248" t="s">
        <v>380</v>
      </c>
      <c r="L5" s="249"/>
      <c r="M5" s="250" t="s">
        <v>371</v>
      </c>
      <c r="N5" s="219" t="s">
        <v>372</v>
      </c>
      <c r="O5" s="219" t="s">
        <v>379</v>
      </c>
      <c r="P5" s="248" t="s">
        <v>380</v>
      </c>
    </row>
    <row r="6" spans="2:22">
      <c r="B6" s="223">
        <v>0</v>
      </c>
      <c r="C6" s="224">
        <f>$C$2*$F$2/12</f>
        <v>66666.666666666672</v>
      </c>
      <c r="D6" s="225"/>
      <c r="E6" s="226"/>
      <c r="F6" s="227">
        <f>C2/10</f>
        <v>1000000</v>
      </c>
      <c r="G6" s="225"/>
      <c r="H6" s="225"/>
      <c r="I6" s="225"/>
      <c r="J6" s="225"/>
      <c r="K6" s="225"/>
      <c r="L6" s="251"/>
      <c r="M6" s="223">
        <v>0</v>
      </c>
      <c r="N6" s="226"/>
      <c r="O6" s="252"/>
      <c r="P6" s="225"/>
    </row>
    <row r="7" spans="2:22">
      <c r="B7" s="228">
        <v>1</v>
      </c>
      <c r="C7" s="229">
        <f>IF(C6=0,0,IF((C6/D7)&gt;F6,IF(F6=0,0,F6*D7),$C$2*((1+$F$2)^(1/12)-1)))</f>
        <v>64340.301100034303</v>
      </c>
      <c r="D7" s="230">
        <f>10*(1+(1+$F$1)^(1/12)-1)</f>
        <v>10.064340301100035</v>
      </c>
      <c r="E7" s="230">
        <f>IF((C7/D7)&gt;F6,F6,(C7/D7))</f>
        <v>6392.8980117059327</v>
      </c>
      <c r="F7" s="227">
        <f t="shared" ref="F7:F18" si="0">F6-E7</f>
        <v>993607.10198829405</v>
      </c>
      <c r="G7" s="230">
        <f>E7*(D7-10)</f>
        <v>411.320982974976</v>
      </c>
      <c r="H7" s="230"/>
      <c r="I7" s="230"/>
      <c r="J7" s="227">
        <f>IF($C$3="Balanced /Equity",G7*15%,G7*$F$4)</f>
        <v>61.698147446246395</v>
      </c>
      <c r="K7" s="229">
        <f t="shared" ref="K7:K18" si="1">D7*F7</f>
        <v>10000000</v>
      </c>
      <c r="L7" s="253"/>
      <c r="M7" s="228">
        <v>1</v>
      </c>
      <c r="N7" s="229">
        <f>$C$2*((1+$O$1)^(1/12)-1)</f>
        <v>64340.301100034303</v>
      </c>
      <c r="O7" s="242">
        <f>N7*$F$4</f>
        <v>20074.173943210702</v>
      </c>
      <c r="P7" s="229">
        <f>$C$2</f>
        <v>10000000</v>
      </c>
    </row>
    <row r="8" spans="2:22">
      <c r="B8" s="228">
        <v>2</v>
      </c>
      <c r="C8" s="229">
        <f t="shared" ref="C8:C18" si="2">IF(C7=0,0,IF((C7/D8)&gt;F7,IF(F7=0,0,F7*D8),$C$2*((1+$F$2)^(1/12)-1)))</f>
        <v>64340.301100034303</v>
      </c>
      <c r="D8" s="230">
        <f>D7*(1+((1+$F$1)^(1/12)-1))</f>
        <v>10.129094569634633</v>
      </c>
      <c r="E8" s="230">
        <f t="shared" ref="E8:E18" si="3">IF((C8/D8)&gt;F7,F7,(C8/D8))</f>
        <v>6352.0288667178593</v>
      </c>
      <c r="F8" s="231">
        <f t="shared" si="0"/>
        <v>987255.07312157622</v>
      </c>
      <c r="G8" s="230">
        <f t="shared" ref="G8:G18" si="4">E8*(D8-10)</f>
        <v>820.01243285570797</v>
      </c>
      <c r="H8" s="230"/>
      <c r="I8" s="230"/>
      <c r="J8" s="227">
        <f t="shared" ref="J8:J18" si="5">IF($C$3="Balanced /Equity",G8*15%,G8*$F$4)</f>
        <v>123.00186492835618</v>
      </c>
      <c r="K8" s="229">
        <f t="shared" si="1"/>
        <v>10000000</v>
      </c>
      <c r="L8" s="253"/>
      <c r="M8" s="228">
        <v>2</v>
      </c>
      <c r="N8" s="229">
        <f t="shared" ref="N8:N18" si="6">$C$2*((1+$O$1)^(1/12)-1)</f>
        <v>64340.301100034303</v>
      </c>
      <c r="O8" s="242">
        <f t="shared" ref="O8:O18" si="7">N8*$F$4</f>
        <v>20074.173943210702</v>
      </c>
      <c r="P8" s="229">
        <f t="shared" ref="P8:P18" si="8">$C$2</f>
        <v>10000000</v>
      </c>
    </row>
    <row r="9" spans="2:22">
      <c r="B9" s="223">
        <v>3</v>
      </c>
      <c r="C9" s="229">
        <f t="shared" si="2"/>
        <v>64340.301100034303</v>
      </c>
      <c r="D9" s="230">
        <f t="shared" ref="D9:D18" si="9">D8*(1+((1+$F$1)^(1/12)-1))</f>
        <v>10.194265469082735</v>
      </c>
      <c r="E9" s="230">
        <f t="shared" si="3"/>
        <v>6311.4209940055198</v>
      </c>
      <c r="F9" s="231">
        <f t="shared" si="0"/>
        <v>980943.65212757071</v>
      </c>
      <c r="G9" s="230">
        <f t="shared" si="4"/>
        <v>1226.0911599791041</v>
      </c>
      <c r="H9" s="230"/>
      <c r="I9" s="230"/>
      <c r="J9" s="227">
        <f t="shared" si="5"/>
        <v>183.91367399686561</v>
      </c>
      <c r="K9" s="229">
        <f t="shared" si="1"/>
        <v>10000000</v>
      </c>
      <c r="L9" s="253"/>
      <c r="M9" s="223">
        <v>3</v>
      </c>
      <c r="N9" s="229">
        <f t="shared" si="6"/>
        <v>64340.301100034303</v>
      </c>
      <c r="O9" s="242">
        <f t="shared" si="7"/>
        <v>20074.173943210702</v>
      </c>
      <c r="P9" s="229">
        <f t="shared" si="8"/>
        <v>10000000</v>
      </c>
    </row>
    <row r="10" spans="2:22">
      <c r="B10" s="228">
        <v>4</v>
      </c>
      <c r="C10" s="229">
        <f t="shared" si="2"/>
        <v>64340.301100034303</v>
      </c>
      <c r="D10" s="230">
        <f t="shared" si="9"/>
        <v>10.259855680060182</v>
      </c>
      <c r="E10" s="230">
        <f t="shared" si="3"/>
        <v>6271.0727232819027</v>
      </c>
      <c r="F10" s="231">
        <f t="shared" si="0"/>
        <v>974672.57940428879</v>
      </c>
      <c r="G10" s="230">
        <f t="shared" si="4"/>
        <v>1629.5738672152784</v>
      </c>
      <c r="H10" s="230"/>
      <c r="I10" s="230"/>
      <c r="J10" s="227">
        <f t="shared" si="5"/>
        <v>244.43608008229174</v>
      </c>
      <c r="K10" s="229">
        <f t="shared" si="1"/>
        <v>10000000.000000002</v>
      </c>
      <c r="L10" s="253"/>
      <c r="M10" s="228">
        <v>4</v>
      </c>
      <c r="N10" s="229">
        <f t="shared" si="6"/>
        <v>64340.301100034303</v>
      </c>
      <c r="O10" s="242">
        <f t="shared" si="7"/>
        <v>20074.173943210702</v>
      </c>
      <c r="P10" s="229">
        <f t="shared" si="8"/>
        <v>10000000</v>
      </c>
    </row>
    <row r="11" spans="2:22">
      <c r="B11" s="228">
        <v>5</v>
      </c>
      <c r="C11" s="229">
        <f t="shared" si="2"/>
        <v>64340.301100034303</v>
      </c>
      <c r="D11" s="230">
        <f t="shared" si="9"/>
        <v>10.32586790042998</v>
      </c>
      <c r="E11" s="230">
        <f t="shared" si="3"/>
        <v>6230.9823949379697</v>
      </c>
      <c r="F11" s="231">
        <f t="shared" si="0"/>
        <v>968441.59700935078</v>
      </c>
      <c r="G11" s="230">
        <f t="shared" si="4"/>
        <v>2030.4771506546049</v>
      </c>
      <c r="H11" s="230"/>
      <c r="I11" s="230"/>
      <c r="J11" s="227">
        <f t="shared" si="5"/>
        <v>304.5715725981907</v>
      </c>
      <c r="K11" s="229">
        <f t="shared" si="1"/>
        <v>10000000.000000002</v>
      </c>
      <c r="L11" s="253"/>
      <c r="M11" s="228">
        <v>5</v>
      </c>
      <c r="N11" s="229">
        <f t="shared" si="6"/>
        <v>64340.301100034303</v>
      </c>
      <c r="O11" s="242">
        <f t="shared" si="7"/>
        <v>20074.173943210702</v>
      </c>
      <c r="P11" s="229">
        <f t="shared" si="8"/>
        <v>10000000</v>
      </c>
    </row>
    <row r="12" spans="2:22">
      <c r="B12" s="223">
        <v>6</v>
      </c>
      <c r="C12" s="229">
        <f t="shared" si="2"/>
        <v>64340.301100034303</v>
      </c>
      <c r="D12" s="230">
        <f t="shared" si="9"/>
        <v>10.392304845413264</v>
      </c>
      <c r="E12" s="230">
        <f t="shared" si="3"/>
        <v>6191.148359974396</v>
      </c>
      <c r="F12" s="231">
        <f t="shared" si="0"/>
        <v>962250.4486493764</v>
      </c>
      <c r="G12" s="230">
        <f t="shared" si="4"/>
        <v>2428.8175002903386</v>
      </c>
      <c r="H12" s="230"/>
      <c r="I12" s="230"/>
      <c r="J12" s="227">
        <f t="shared" si="5"/>
        <v>364.32262504355077</v>
      </c>
      <c r="K12" s="229">
        <f t="shared" si="1"/>
        <v>10000000.000000002</v>
      </c>
      <c r="L12" s="253"/>
      <c r="M12" s="223">
        <v>6</v>
      </c>
      <c r="N12" s="229">
        <f t="shared" si="6"/>
        <v>64340.301100034303</v>
      </c>
      <c r="O12" s="242">
        <f t="shared" si="7"/>
        <v>20074.173943210702</v>
      </c>
      <c r="P12" s="229">
        <f t="shared" si="8"/>
        <v>10000000</v>
      </c>
    </row>
    <row r="13" spans="2:22">
      <c r="B13" s="228">
        <v>7</v>
      </c>
      <c r="C13" s="229">
        <f t="shared" si="2"/>
        <v>64340.301100034303</v>
      </c>
      <c r="D13" s="230">
        <f t="shared" si="9"/>
        <v>10.459169247700988</v>
      </c>
      <c r="E13" s="230">
        <f t="shared" si="3"/>
        <v>6151.5689799337397</v>
      </c>
      <c r="F13" s="231">
        <f t="shared" si="0"/>
        <v>956098.87966944266</v>
      </c>
      <c r="G13" s="230">
        <f t="shared" si="4"/>
        <v>2824.6113006969085</v>
      </c>
      <c r="H13" s="230"/>
      <c r="I13" s="230"/>
      <c r="J13" s="227">
        <f t="shared" si="5"/>
        <v>423.69169510453628</v>
      </c>
      <c r="K13" s="229">
        <f t="shared" si="1"/>
        <v>10000000.000000002</v>
      </c>
      <c r="L13" s="253"/>
      <c r="M13" s="228">
        <v>7</v>
      </c>
      <c r="N13" s="229">
        <f t="shared" si="6"/>
        <v>64340.301100034303</v>
      </c>
      <c r="O13" s="242">
        <f t="shared" si="7"/>
        <v>20074.173943210702</v>
      </c>
      <c r="P13" s="229">
        <f t="shared" si="8"/>
        <v>10000000</v>
      </c>
    </row>
    <row r="14" spans="2:22">
      <c r="B14" s="228">
        <v>8</v>
      </c>
      <c r="C14" s="229">
        <f t="shared" si="2"/>
        <v>64340.301100034303</v>
      </c>
      <c r="D14" s="230">
        <f t="shared" si="9"/>
        <v>10.526463857566318</v>
      </c>
      <c r="E14" s="230">
        <f t="shared" si="3"/>
        <v>6112.2426268330491</v>
      </c>
      <c r="F14" s="231">
        <f t="shared" si="0"/>
        <v>949986.63704260963</v>
      </c>
      <c r="G14" s="230">
        <f t="shared" si="4"/>
        <v>3217.8748317038121</v>
      </c>
      <c r="H14" s="230"/>
      <c r="I14" s="230"/>
      <c r="J14" s="227">
        <f t="shared" si="5"/>
        <v>482.6812247555718</v>
      </c>
      <c r="K14" s="229">
        <f t="shared" si="1"/>
        <v>10000000.000000002</v>
      </c>
      <c r="L14" s="253"/>
      <c r="M14" s="228">
        <v>8</v>
      </c>
      <c r="N14" s="229">
        <f t="shared" si="6"/>
        <v>64340.301100034303</v>
      </c>
      <c r="O14" s="242">
        <f t="shared" si="7"/>
        <v>20074.173943210702</v>
      </c>
      <c r="P14" s="229">
        <f t="shared" si="8"/>
        <v>10000000</v>
      </c>
    </row>
    <row r="15" spans="2:22">
      <c r="B15" s="223">
        <v>9</v>
      </c>
      <c r="C15" s="229">
        <f t="shared" si="2"/>
        <v>64340.301100034303</v>
      </c>
      <c r="D15" s="230">
        <f t="shared" si="9"/>
        <v>10.594191442977763</v>
      </c>
      <c r="E15" s="230">
        <f t="shared" si="3"/>
        <v>6073.1676830969036</v>
      </c>
      <c r="F15" s="231">
        <f t="shared" si="0"/>
        <v>943913.46935951267</v>
      </c>
      <c r="G15" s="230">
        <f t="shared" si="4"/>
        <v>3608.6242690652684</v>
      </c>
      <c r="H15" s="230"/>
      <c r="I15" s="230"/>
      <c r="J15" s="227">
        <f t="shared" si="5"/>
        <v>541.29364035979029</v>
      </c>
      <c r="K15" s="229">
        <f t="shared" si="1"/>
        <v>10000000.000000002</v>
      </c>
      <c r="L15" s="253"/>
      <c r="M15" s="223">
        <v>9</v>
      </c>
      <c r="N15" s="229">
        <f t="shared" si="6"/>
        <v>64340.301100034303</v>
      </c>
      <c r="O15" s="242">
        <f t="shared" si="7"/>
        <v>20074.173943210702</v>
      </c>
      <c r="P15" s="229">
        <f t="shared" si="8"/>
        <v>10000000</v>
      </c>
    </row>
    <row r="16" spans="2:22">
      <c r="B16" s="228">
        <v>10</v>
      </c>
      <c r="C16" s="229">
        <f t="shared" si="2"/>
        <v>64340.301100034303</v>
      </c>
      <c r="D16" s="230">
        <f t="shared" si="9"/>
        <v>10.662354789713023</v>
      </c>
      <c r="E16" s="230">
        <f t="shared" si="3"/>
        <v>6034.342541490877</v>
      </c>
      <c r="F16" s="231">
        <f t="shared" si="0"/>
        <v>937879.12681802176</v>
      </c>
      <c r="G16" s="230">
        <f t="shared" si="4"/>
        <v>3996.8756851255366</v>
      </c>
      <c r="H16" s="230"/>
      <c r="I16" s="230"/>
      <c r="J16" s="227">
        <f t="shared" si="5"/>
        <v>599.53135276883052</v>
      </c>
      <c r="K16" s="229">
        <f t="shared" si="1"/>
        <v>10000000.000000002</v>
      </c>
      <c r="L16" s="253"/>
      <c r="M16" s="228">
        <v>10</v>
      </c>
      <c r="N16" s="229">
        <f t="shared" si="6"/>
        <v>64340.301100034303</v>
      </c>
      <c r="O16" s="242">
        <f t="shared" si="7"/>
        <v>20074.173943210702</v>
      </c>
      <c r="P16" s="229">
        <f t="shared" si="8"/>
        <v>10000000</v>
      </c>
    </row>
    <row r="17" spans="2:16">
      <c r="B17" s="228">
        <v>11</v>
      </c>
      <c r="C17" s="229">
        <f t="shared" si="2"/>
        <v>64340.301100034303</v>
      </c>
      <c r="D17" s="230">
        <f t="shared" si="9"/>
        <v>10.730956701473575</v>
      </c>
      <c r="E17" s="230">
        <f t="shared" si="3"/>
        <v>5995.7656050554269</v>
      </c>
      <c r="F17" s="231">
        <f t="shared" si="0"/>
        <v>931883.36121296638</v>
      </c>
      <c r="G17" s="230">
        <f t="shared" si="4"/>
        <v>4382.6450494800292</v>
      </c>
      <c r="H17" s="230"/>
      <c r="I17" s="230"/>
      <c r="J17" s="227">
        <f t="shared" si="5"/>
        <v>657.39675742200438</v>
      </c>
      <c r="K17" s="229">
        <f t="shared" si="1"/>
        <v>10000000.000000002</v>
      </c>
      <c r="L17" s="253"/>
      <c r="M17" s="228">
        <v>11</v>
      </c>
      <c r="N17" s="229">
        <f t="shared" si="6"/>
        <v>64340.301100034303</v>
      </c>
      <c r="O17" s="242">
        <f t="shared" si="7"/>
        <v>20074.173943210702</v>
      </c>
      <c r="P17" s="229">
        <f t="shared" si="8"/>
        <v>10000000</v>
      </c>
    </row>
    <row r="18" spans="2:16">
      <c r="B18" s="223">
        <v>12</v>
      </c>
      <c r="C18" s="229">
        <f t="shared" si="2"/>
        <v>64340.301100034303</v>
      </c>
      <c r="D18" s="230">
        <f t="shared" si="9"/>
        <v>10.799999999999999</v>
      </c>
      <c r="E18" s="230">
        <f t="shared" si="3"/>
        <v>5957.4352870402136</v>
      </c>
      <c r="F18" s="232">
        <f t="shared" si="0"/>
        <v>925925.92592592619</v>
      </c>
      <c r="G18" s="233">
        <f t="shared" si="4"/>
        <v>4765.9482296321648</v>
      </c>
      <c r="H18" s="233"/>
      <c r="I18" s="233"/>
      <c r="J18" s="227">
        <f t="shared" si="5"/>
        <v>714.89223444482468</v>
      </c>
      <c r="K18" s="254">
        <f t="shared" si="1"/>
        <v>10000000.000000002</v>
      </c>
      <c r="L18" s="253"/>
      <c r="M18" s="223">
        <v>12</v>
      </c>
      <c r="N18" s="229">
        <f t="shared" si="6"/>
        <v>64340.301100034303</v>
      </c>
      <c r="O18" s="242">
        <f t="shared" si="7"/>
        <v>20074.173943210702</v>
      </c>
      <c r="P18" s="229">
        <f t="shared" si="8"/>
        <v>10000000</v>
      </c>
    </row>
    <row r="19" spans="2:16">
      <c r="B19" s="234" t="s">
        <v>386</v>
      </c>
      <c r="C19" s="235">
        <f>SUM(C7:C18)</f>
        <v>772083.61320041155</v>
      </c>
      <c r="D19" s="236"/>
      <c r="E19" s="237"/>
      <c r="F19" s="238"/>
      <c r="G19" s="237"/>
      <c r="H19" s="237"/>
      <c r="I19" s="237"/>
      <c r="J19" s="255">
        <f>SUM(J7:J18)</f>
        <v>4701.430868951059</v>
      </c>
      <c r="K19" s="256"/>
      <c r="L19" s="257"/>
      <c r="M19" s="234" t="s">
        <v>386</v>
      </c>
      <c r="N19" s="235">
        <f>SUM(N7:N18)</f>
        <v>772083.61320041155</v>
      </c>
      <c r="O19" s="258">
        <f>SUM(O7:O18)</f>
        <v>240890.08731852847</v>
      </c>
      <c r="P19" s="259"/>
    </row>
    <row r="20" spans="2:16">
      <c r="B20" s="239" t="s">
        <v>387</v>
      </c>
      <c r="C20" s="240">
        <f>C19-J19</f>
        <v>767382.18233146053</v>
      </c>
      <c r="D20" s="241"/>
      <c r="E20" s="241"/>
      <c r="F20" s="241"/>
      <c r="G20" s="241"/>
      <c r="H20" s="241"/>
      <c r="I20" s="241"/>
      <c r="J20" s="260">
        <f>IFERROR(J19/C19,0)</f>
        <v>6.0892768458883188E-3</v>
      </c>
      <c r="K20" s="261"/>
      <c r="L20" s="262"/>
      <c r="M20" s="239" t="s">
        <v>387</v>
      </c>
      <c r="N20" s="240">
        <f>N19-O19</f>
        <v>531193.52588188311</v>
      </c>
      <c r="O20" s="263">
        <f>IFERROR(O19/N19,0)</f>
        <v>0.31200000000000011</v>
      </c>
      <c r="P20" s="264"/>
    </row>
    <row r="21" spans="2:16">
      <c r="B21" s="223">
        <v>13</v>
      </c>
      <c r="C21" s="229">
        <f>IF(C18=0,0,IF((C18/D21)&gt;F18,IF(F18=0,0,F18*D21),$C$2*((1+$F$2)^(1/12)-1)))</f>
        <v>64340.301100034303</v>
      </c>
      <c r="D21" s="230">
        <f>D18*(1+((1+$F$1)^(1/12)-1))</f>
        <v>10.869487525188037</v>
      </c>
      <c r="E21" s="230">
        <f>IF((C21/D21)&gt;F18,F18,(C21/D21))</f>
        <v>5919.3500108388271</v>
      </c>
      <c r="F21" s="232">
        <f>F18-E21</f>
        <v>920006.57591508736</v>
      </c>
      <c r="G21" s="230">
        <f>IF($C$3="Debt Fund",E21*(D21-10),0)</f>
        <v>0</v>
      </c>
      <c r="H21" s="230">
        <f>IF($C$3="Balanced /Equity",E21*(D21-10),0)</f>
        <v>5146.8009916460287</v>
      </c>
      <c r="I21" s="252"/>
      <c r="J21" s="227">
        <f>IF($C$3="Balanced /Equity",H21*10.4%,G21*$F$4)</f>
        <v>535.26730313118708</v>
      </c>
      <c r="K21" s="229">
        <f t="shared" ref="K21:K32" si="10">D21*F21</f>
        <v>10000000.000000002</v>
      </c>
      <c r="M21" s="223">
        <v>13</v>
      </c>
      <c r="N21" s="229">
        <f t="shared" ref="N21:N32" si="11">$C$2*((1+$O$1)^(1/12)-1)</f>
        <v>64340.301100034303</v>
      </c>
      <c r="O21" s="242">
        <f t="shared" ref="O21:O32" si="12">N21*$F$4</f>
        <v>20074.173943210702</v>
      </c>
      <c r="P21" s="229">
        <f t="shared" ref="P21:P32" si="13">$C$2</f>
        <v>10000000</v>
      </c>
    </row>
    <row r="22" spans="2:16">
      <c r="B22" s="223">
        <v>14</v>
      </c>
      <c r="C22" s="229">
        <f>IF(C21=0,0,IF((C21/D22)&gt;F21,IF(F21=0,0,F21*D22),$C$2*((1+$F$2)^(1/12)-1)))</f>
        <v>64340.301100034303</v>
      </c>
      <c r="D22" s="230">
        <f>D21*(1+((1+$F$1)^(1/12)-1))</f>
        <v>10.939422135205403</v>
      </c>
      <c r="E22" s="230">
        <f t="shared" ref="E22:E32" si="14">IF((C22/D22)&gt;F21,F21,(C22/D22))</f>
        <v>5881.5082099239444</v>
      </c>
      <c r="F22" s="232">
        <f>F21-E22</f>
        <v>914125.06770516338</v>
      </c>
      <c r="G22" s="230">
        <f t="shared" ref="G22:G32" si="15">IF($C$3="Debt Fund",E22*(D22-10),0)</f>
        <v>0</v>
      </c>
      <c r="H22" s="230">
        <f t="shared" ref="H22:H32" si="16">IF($C$3="Balanced /Equity",E22*(D22-10),0)</f>
        <v>5525.2190007948584</v>
      </c>
      <c r="I22" s="252"/>
      <c r="J22" s="227">
        <f t="shared" ref="J22:J32" si="17">IF($C$3="Balanced /Equity",H22*10.4%,G22*$F$4)</f>
        <v>574.62277608266527</v>
      </c>
      <c r="K22" s="229">
        <f t="shared" si="10"/>
        <v>10000000.000000002</v>
      </c>
      <c r="M22" s="223">
        <v>14</v>
      </c>
      <c r="N22" s="229">
        <f t="shared" si="11"/>
        <v>64340.301100034303</v>
      </c>
      <c r="O22" s="242">
        <f t="shared" si="12"/>
        <v>20074.173943210702</v>
      </c>
      <c r="P22" s="229">
        <f t="shared" si="13"/>
        <v>10000000</v>
      </c>
    </row>
    <row r="23" spans="2:16">
      <c r="B23" s="223">
        <v>15</v>
      </c>
      <c r="C23" s="229">
        <f t="shared" ref="C23:C32" si="18">IF(C22=0,0,IF((C22/D23)&gt;F22,IF(F22=0,0,F22*D23),$C$2*((1+$F$2)^(1/12)-1)))</f>
        <v>64340.301100034303</v>
      </c>
      <c r="D23" s="230">
        <f t="shared" ref="D23:D32" si="19">D22*(1+((1+$F$1)^(1/12)-1))</f>
        <v>11.009806706609352</v>
      </c>
      <c r="E23" s="230">
        <f t="shared" si="14"/>
        <v>5843.9083277828895</v>
      </c>
      <c r="F23" s="232">
        <f t="shared" ref="F23:F32" si="20">F22-E23</f>
        <v>908281.15937738051</v>
      </c>
      <c r="G23" s="230">
        <f t="shared" si="15"/>
        <v>0</v>
      </c>
      <c r="H23" s="230">
        <f t="shared" si="16"/>
        <v>5901.2178222054035</v>
      </c>
      <c r="I23" s="252"/>
      <c r="J23" s="227">
        <f t="shared" si="17"/>
        <v>613.726653509362</v>
      </c>
      <c r="K23" s="229">
        <f t="shared" si="10"/>
        <v>10000000.000000002</v>
      </c>
      <c r="M23" s="223">
        <v>15</v>
      </c>
      <c r="N23" s="229">
        <f t="shared" si="11"/>
        <v>64340.301100034303</v>
      </c>
      <c r="O23" s="242">
        <f t="shared" si="12"/>
        <v>20074.173943210702</v>
      </c>
      <c r="P23" s="229">
        <f t="shared" si="13"/>
        <v>10000000</v>
      </c>
    </row>
    <row r="24" spans="2:16">
      <c r="B24" s="223">
        <v>16</v>
      </c>
      <c r="C24" s="229">
        <f t="shared" si="18"/>
        <v>64340.301100034303</v>
      </c>
      <c r="D24" s="230">
        <f t="shared" si="19"/>
        <v>11.080644134464993</v>
      </c>
      <c r="E24" s="230">
        <f t="shared" si="14"/>
        <v>5806.5488178536152</v>
      </c>
      <c r="F24" s="232">
        <f t="shared" si="20"/>
        <v>902474.61055952695</v>
      </c>
      <c r="G24" s="230">
        <f t="shared" si="15"/>
        <v>0</v>
      </c>
      <c r="H24" s="230">
        <f t="shared" si="16"/>
        <v>6274.81292149815</v>
      </c>
      <c r="I24" s="252"/>
      <c r="J24" s="227">
        <f t="shared" si="17"/>
        <v>652.5805438358077</v>
      </c>
      <c r="K24" s="229">
        <f t="shared" si="10"/>
        <v>10000000.000000002</v>
      </c>
      <c r="M24" s="223">
        <v>16</v>
      </c>
      <c r="N24" s="229">
        <f t="shared" si="11"/>
        <v>64340.301100034303</v>
      </c>
      <c r="O24" s="242">
        <f t="shared" si="12"/>
        <v>20074.173943210702</v>
      </c>
      <c r="P24" s="229">
        <f t="shared" si="13"/>
        <v>10000000</v>
      </c>
    </row>
    <row r="25" spans="2:16">
      <c r="B25" s="223">
        <v>17</v>
      </c>
      <c r="C25" s="229">
        <f t="shared" si="18"/>
        <v>64340.301100034303</v>
      </c>
      <c r="D25" s="230">
        <f t="shared" si="19"/>
        <v>11.151937332464374</v>
      </c>
      <c r="E25" s="230">
        <f t="shared" si="14"/>
        <v>5769.4281434610848</v>
      </c>
      <c r="F25" s="232">
        <f t="shared" si="20"/>
        <v>896705.18241606583</v>
      </c>
      <c r="G25" s="230">
        <f t="shared" si="15"/>
        <v>0</v>
      </c>
      <c r="H25" s="230">
        <f t="shared" si="16"/>
        <v>6646.0196654234505</v>
      </c>
      <c r="I25" s="252"/>
      <c r="J25" s="227">
        <f t="shared" si="17"/>
        <v>691.18604520403892</v>
      </c>
      <c r="K25" s="229">
        <f t="shared" si="10"/>
        <v>10000000.000000002</v>
      </c>
      <c r="M25" s="223">
        <v>17</v>
      </c>
      <c r="N25" s="229">
        <f t="shared" si="11"/>
        <v>64340.301100034303</v>
      </c>
      <c r="O25" s="242">
        <f t="shared" si="12"/>
        <v>20074.173943210702</v>
      </c>
      <c r="P25" s="229">
        <f t="shared" si="13"/>
        <v>10000000</v>
      </c>
    </row>
    <row r="26" spans="2:16">
      <c r="B26" s="223">
        <v>18</v>
      </c>
      <c r="C26" s="229">
        <f t="shared" si="18"/>
        <v>64340.301100034303</v>
      </c>
      <c r="D26" s="230">
        <f t="shared" si="19"/>
        <v>11.223689233046322</v>
      </c>
      <c r="E26" s="230">
        <f t="shared" si="14"/>
        <v>5732.5447777540721</v>
      </c>
      <c r="F26" s="232">
        <f t="shared" si="20"/>
        <v>890972.63763831172</v>
      </c>
      <c r="G26" s="230">
        <f t="shared" si="15"/>
        <v>0</v>
      </c>
      <c r="H26" s="230">
        <f t="shared" si="16"/>
        <v>7014.8533224935791</v>
      </c>
      <c r="I26" s="252"/>
      <c r="J26" s="227">
        <f t="shared" si="17"/>
        <v>729.54474553933233</v>
      </c>
      <c r="K26" s="229">
        <f t="shared" si="10"/>
        <v>10000000.000000002</v>
      </c>
      <c r="M26" s="223">
        <v>18</v>
      </c>
      <c r="N26" s="229">
        <f t="shared" si="11"/>
        <v>64340.301100034303</v>
      </c>
      <c r="O26" s="242">
        <f t="shared" si="12"/>
        <v>20074.173943210702</v>
      </c>
      <c r="P26" s="229">
        <f t="shared" si="13"/>
        <v>10000000</v>
      </c>
    </row>
    <row r="27" spans="2:16">
      <c r="B27" s="223">
        <v>19</v>
      </c>
      <c r="C27" s="229">
        <f t="shared" si="18"/>
        <v>64340.301100034303</v>
      </c>
      <c r="D27" s="230">
        <f t="shared" si="19"/>
        <v>11.295902787517063</v>
      </c>
      <c r="E27" s="230">
        <f t="shared" si="14"/>
        <v>5695.8972036423529</v>
      </c>
      <c r="F27" s="232">
        <f t="shared" si="20"/>
        <v>885276.74043466931</v>
      </c>
      <c r="G27" s="230">
        <f t="shared" si="15"/>
        <v>0</v>
      </c>
      <c r="H27" s="230">
        <f t="shared" si="16"/>
        <v>7381.3290636107695</v>
      </c>
      <c r="I27" s="252"/>
      <c r="J27" s="227">
        <f t="shared" si="17"/>
        <v>767.65822261552012</v>
      </c>
      <c r="K27" s="229">
        <f t="shared" si="10"/>
        <v>10000000</v>
      </c>
      <c r="M27" s="223">
        <v>19</v>
      </c>
      <c r="N27" s="229">
        <f t="shared" si="11"/>
        <v>64340.301100034303</v>
      </c>
      <c r="O27" s="242">
        <f t="shared" si="12"/>
        <v>20074.173943210702</v>
      </c>
      <c r="P27" s="229">
        <f t="shared" si="13"/>
        <v>10000000</v>
      </c>
    </row>
    <row r="28" spans="2:16">
      <c r="B28" s="223">
        <v>20</v>
      </c>
      <c r="C28" s="229">
        <f t="shared" si="18"/>
        <v>64340.301100034303</v>
      </c>
      <c r="D28" s="230">
        <f t="shared" si="19"/>
        <v>11.368580966171619</v>
      </c>
      <c r="E28" s="230">
        <f t="shared" si="14"/>
        <v>5659.483913734307</v>
      </c>
      <c r="F28" s="232">
        <f t="shared" si="20"/>
        <v>879617.25652093499</v>
      </c>
      <c r="G28" s="230">
        <f t="shared" si="15"/>
        <v>0</v>
      </c>
      <c r="H28" s="230">
        <f t="shared" si="16"/>
        <v>7745.4619626912327</v>
      </c>
      <c r="I28" s="252"/>
      <c r="J28" s="227">
        <f t="shared" si="17"/>
        <v>805.52804411988825</v>
      </c>
      <c r="K28" s="229">
        <f t="shared" si="10"/>
        <v>10000000</v>
      </c>
      <c r="M28" s="223">
        <v>20</v>
      </c>
      <c r="N28" s="229">
        <f t="shared" si="11"/>
        <v>64340.301100034303</v>
      </c>
      <c r="O28" s="242">
        <f t="shared" si="12"/>
        <v>20074.173943210702</v>
      </c>
      <c r="P28" s="229">
        <f t="shared" si="13"/>
        <v>10000000</v>
      </c>
    </row>
    <row r="29" spans="2:16">
      <c r="B29" s="223">
        <v>21</v>
      </c>
      <c r="C29" s="229">
        <f t="shared" si="18"/>
        <v>64340.301100034303</v>
      </c>
      <c r="D29" s="230">
        <f t="shared" si="19"/>
        <v>11.441726758415978</v>
      </c>
      <c r="E29" s="230">
        <f t="shared" si="14"/>
        <v>5623.3034102749134</v>
      </c>
      <c r="F29" s="232">
        <f t="shared" si="20"/>
        <v>873993.95311066008</v>
      </c>
      <c r="G29" s="230">
        <f t="shared" si="15"/>
        <v>0</v>
      </c>
      <c r="H29" s="230">
        <f t="shared" si="16"/>
        <v>8107.2669972851654</v>
      </c>
      <c r="I29" s="252"/>
      <c r="J29" s="227">
        <f t="shared" si="17"/>
        <v>843.15576771765723</v>
      </c>
      <c r="K29" s="229">
        <f t="shared" si="10"/>
        <v>9999999.9999999981</v>
      </c>
      <c r="M29" s="223">
        <v>21</v>
      </c>
      <c r="N29" s="229">
        <f t="shared" si="11"/>
        <v>64340.301100034303</v>
      </c>
      <c r="O29" s="242">
        <f t="shared" si="12"/>
        <v>20074.173943210702</v>
      </c>
      <c r="P29" s="229">
        <f t="shared" si="13"/>
        <v>10000000</v>
      </c>
    </row>
    <row r="30" spans="2:16">
      <c r="B30" s="223">
        <v>22</v>
      </c>
      <c r="C30" s="229">
        <f t="shared" si="18"/>
        <v>64340.301100034303</v>
      </c>
      <c r="D30" s="230">
        <f t="shared" si="19"/>
        <v>11.515343172890059</v>
      </c>
      <c r="E30" s="230">
        <f t="shared" si="14"/>
        <v>5587.3542050841479</v>
      </c>
      <c r="F30" s="232">
        <f t="shared" si="20"/>
        <v>868406.59890557593</v>
      </c>
      <c r="G30" s="230">
        <f t="shared" si="15"/>
        <v>0</v>
      </c>
      <c r="H30" s="230">
        <f t="shared" si="16"/>
        <v>8466.7590491928277</v>
      </c>
      <c r="I30" s="252"/>
      <c r="J30" s="227">
        <f t="shared" si="17"/>
        <v>880.54294111605418</v>
      </c>
      <c r="K30" s="229">
        <f t="shared" si="10"/>
        <v>10000000</v>
      </c>
      <c r="M30" s="223">
        <v>22</v>
      </c>
      <c r="N30" s="229">
        <f t="shared" si="11"/>
        <v>64340.301100034303</v>
      </c>
      <c r="O30" s="242">
        <f t="shared" si="12"/>
        <v>20074.173943210702</v>
      </c>
      <c r="P30" s="229">
        <f t="shared" si="13"/>
        <v>10000000</v>
      </c>
    </row>
    <row r="31" spans="2:16">
      <c r="B31" s="223">
        <v>23</v>
      </c>
      <c r="C31" s="229">
        <f t="shared" si="18"/>
        <v>64340.301100034303</v>
      </c>
      <c r="D31" s="230">
        <f t="shared" si="19"/>
        <v>11.589433237591455</v>
      </c>
      <c r="E31" s="230">
        <f t="shared" si="14"/>
        <v>5551.6348194957691</v>
      </c>
      <c r="F31" s="232">
        <f t="shared" si="20"/>
        <v>862854.9640860802</v>
      </c>
      <c r="G31" s="230">
        <f t="shared" si="15"/>
        <v>0</v>
      </c>
      <c r="H31" s="230">
        <f t="shared" si="16"/>
        <v>8823.9529050766159</v>
      </c>
      <c r="I31" s="252"/>
      <c r="J31" s="227">
        <f t="shared" si="17"/>
        <v>917.69110212796818</v>
      </c>
      <c r="K31" s="229">
        <f t="shared" si="10"/>
        <v>10000000</v>
      </c>
      <c r="M31" s="223">
        <v>23</v>
      </c>
      <c r="N31" s="229">
        <f t="shared" si="11"/>
        <v>64340.301100034303</v>
      </c>
      <c r="O31" s="242">
        <f t="shared" si="12"/>
        <v>20074.173943210702</v>
      </c>
      <c r="P31" s="229">
        <f t="shared" si="13"/>
        <v>10000000</v>
      </c>
    </row>
    <row r="32" spans="2:16">
      <c r="B32" s="223">
        <v>24</v>
      </c>
      <c r="C32" s="229">
        <f t="shared" si="18"/>
        <v>64340.301100034303</v>
      </c>
      <c r="D32" s="230">
        <f t="shared" si="19"/>
        <v>11.663999999999993</v>
      </c>
      <c r="E32" s="230">
        <f t="shared" si="14"/>
        <v>5516.143784296497</v>
      </c>
      <c r="F32" s="227">
        <f t="shared" si="20"/>
        <v>857338.82030178374</v>
      </c>
      <c r="G32" s="230">
        <f t="shared" si="15"/>
        <v>0</v>
      </c>
      <c r="H32" s="230">
        <f t="shared" si="16"/>
        <v>9178.8632570693298</v>
      </c>
      <c r="I32" s="252"/>
      <c r="J32" s="227">
        <f t="shared" si="17"/>
        <v>954.60177873521036</v>
      </c>
      <c r="K32" s="229">
        <f t="shared" si="10"/>
        <v>10000000</v>
      </c>
      <c r="M32" s="223">
        <v>24</v>
      </c>
      <c r="N32" s="229">
        <f t="shared" si="11"/>
        <v>64340.301100034303</v>
      </c>
      <c r="O32" s="242">
        <f t="shared" si="12"/>
        <v>20074.173943210702</v>
      </c>
      <c r="P32" s="229">
        <f t="shared" si="13"/>
        <v>10000000</v>
      </c>
    </row>
    <row r="33" spans="2:16">
      <c r="B33" s="234" t="s">
        <v>386</v>
      </c>
      <c r="C33" s="235">
        <f>SUM(C21:C32)</f>
        <v>772083.61320041155</v>
      </c>
      <c r="D33" s="236"/>
      <c r="E33" s="237"/>
      <c r="F33" s="238"/>
      <c r="G33" s="237"/>
      <c r="H33" s="237"/>
      <c r="I33" s="237"/>
      <c r="J33" s="255">
        <f>SUM(J21:J32)</f>
        <v>8966.1059237346926</v>
      </c>
      <c r="K33" s="256"/>
      <c r="M33" s="234" t="s">
        <v>386</v>
      </c>
      <c r="N33" s="235">
        <f>SUM(N21:N32)</f>
        <v>772083.61320041155</v>
      </c>
      <c r="O33" s="258">
        <f>SUM(O21:O32)</f>
        <v>240890.08731852847</v>
      </c>
      <c r="P33" s="259"/>
    </row>
    <row r="34" spans="2:16">
      <c r="B34" s="239" t="s">
        <v>387</v>
      </c>
      <c r="C34" s="240">
        <f>C33-J33</f>
        <v>763117.50727667683</v>
      </c>
      <c r="D34" s="241"/>
      <c r="E34" s="241"/>
      <c r="F34" s="241"/>
      <c r="G34" s="241"/>
      <c r="H34" s="241"/>
      <c r="I34" s="241"/>
      <c r="J34" s="260">
        <f>IFERROR(J33/C33,0)</f>
        <v>1.1612869086249263E-2</v>
      </c>
      <c r="K34" s="261"/>
      <c r="M34" s="239" t="s">
        <v>387</v>
      </c>
      <c r="N34" s="240">
        <f>N33-O33</f>
        <v>531193.52588188311</v>
      </c>
      <c r="O34" s="263">
        <f>IFERROR(O33/N33,0)</f>
        <v>0.31200000000000011</v>
      </c>
      <c r="P34" s="264"/>
    </row>
    <row r="35" spans="2:16">
      <c r="B35" s="223">
        <v>25</v>
      </c>
      <c r="C35" s="229">
        <f>IF(C32=0,0,IF((C32/D35)&gt;F32,IF(F32=0,0,F32*D35),$C$2*((1+$F$2)^(1/12)-1)))</f>
        <v>64340.301100034303</v>
      </c>
      <c r="D35" s="230">
        <f>D32*(1+((1+$F$1)^(1/12)-1))</f>
        <v>11.739046527203072</v>
      </c>
      <c r="E35" s="230">
        <f>IF((C35/D35)&gt;F32,F32,(C35/D35))</f>
        <v>5480.8796396655844</v>
      </c>
      <c r="F35" s="232">
        <f>F32-E35</f>
        <v>851857.94066211814</v>
      </c>
      <c r="G35" s="230">
        <f t="shared" ref="G35:G46" si="21">IF($C$3="Debt Fund",E35*(D35-10),0)</f>
        <v>0</v>
      </c>
      <c r="H35" s="230">
        <f t="shared" ref="H35:H46" si="22">IF($C$3="Balanced /Equity",E35*(D35-10),0)</f>
        <v>9531.5047033784613</v>
      </c>
      <c r="I35" s="252"/>
      <c r="J35" s="227">
        <f>IF($C$3="Balanced /Equity",H35*10.4%,G35*$F$4)</f>
        <v>991.27648915136001</v>
      </c>
      <c r="K35" s="229">
        <f t="shared" ref="K35:K46" si="23">D35*F35</f>
        <v>9999999.9999999981</v>
      </c>
      <c r="M35" s="223">
        <v>25</v>
      </c>
      <c r="N35" s="229">
        <f t="shared" ref="N35:N46" si="24">$C$2*((1+$O$1)^(1/12)-1)</f>
        <v>64340.301100034303</v>
      </c>
      <c r="O35" s="242">
        <f t="shared" ref="O35:O46" si="25">N35*$F$4</f>
        <v>20074.173943210702</v>
      </c>
      <c r="P35" s="229">
        <f t="shared" ref="P35:P46" si="26">$C$2</f>
        <v>10000000</v>
      </c>
    </row>
    <row r="36" spans="2:16">
      <c r="B36" s="223">
        <v>26</v>
      </c>
      <c r="C36" s="229">
        <f>IF(C35=0,0,IF((C35/D36)&gt;F35,IF(F35=0,0,F35*D36),$C$2*((1+$F$2)^(1/12)-1)))</f>
        <v>64340.301100034303</v>
      </c>
      <c r="D36" s="230">
        <f>D35*(1+((1+$F$1)^(1/12)-1))</f>
        <v>11.814575906021828</v>
      </c>
      <c r="E36" s="230">
        <f t="shared" ref="E36:E46" si="27">IF((C36/D36)&gt;F35,F35,(C36/D36))</f>
        <v>5445.8409351147666</v>
      </c>
      <c r="F36" s="232">
        <f>F35-E36</f>
        <v>846412.09972700337</v>
      </c>
      <c r="G36" s="230">
        <f t="shared" si="21"/>
        <v>0</v>
      </c>
      <c r="H36" s="230">
        <f t="shared" si="22"/>
        <v>9881.8917488866355</v>
      </c>
      <c r="I36" s="252"/>
      <c r="J36" s="227">
        <f t="shared" ref="J36:J46" si="28">IF($C$3="Balanced /Equity",H36*10.4%,G36*$F$4)</f>
        <v>1027.7167418842103</v>
      </c>
      <c r="K36" s="229">
        <f t="shared" si="23"/>
        <v>9999999.9999999981</v>
      </c>
      <c r="M36" s="223">
        <v>26</v>
      </c>
      <c r="N36" s="229">
        <f t="shared" si="24"/>
        <v>64340.301100034303</v>
      </c>
      <c r="O36" s="242">
        <f t="shared" si="25"/>
        <v>20074.173943210702</v>
      </c>
      <c r="P36" s="229">
        <f t="shared" si="26"/>
        <v>10000000</v>
      </c>
    </row>
    <row r="37" spans="2:16">
      <c r="B37" s="223">
        <v>27</v>
      </c>
      <c r="C37" s="229">
        <f t="shared" ref="C37:C46" si="29">IF(C36=0,0,IF((C36/D37)&gt;F36,IF(F36=0,0,F36*D37),$C$2*((1+$F$2)^(1/12)-1)))</f>
        <v>64340.301100034303</v>
      </c>
      <c r="D37" s="230">
        <f t="shared" ref="D37:D46" si="30">D36*(1+((1+$F$1)^(1/12)-1))</f>
        <v>11.890591243138093</v>
      </c>
      <c r="E37" s="230">
        <f t="shared" si="27"/>
        <v>5411.0262294286049</v>
      </c>
      <c r="F37" s="232">
        <f t="shared" ref="F37:F46" si="31">F36-E37</f>
        <v>841001.07349757478</v>
      </c>
      <c r="G37" s="230">
        <f t="shared" si="21"/>
        <v>0</v>
      </c>
      <c r="H37" s="230">
        <f t="shared" si="22"/>
        <v>10230.038805748256</v>
      </c>
      <c r="I37" s="252"/>
      <c r="J37" s="227">
        <f t="shared" si="28"/>
        <v>1063.9240357978188</v>
      </c>
      <c r="K37" s="229">
        <f t="shared" si="23"/>
        <v>9999999.9999999981</v>
      </c>
      <c r="M37" s="223">
        <v>27</v>
      </c>
      <c r="N37" s="229">
        <f t="shared" si="24"/>
        <v>64340.301100034303</v>
      </c>
      <c r="O37" s="242">
        <f t="shared" si="25"/>
        <v>20074.173943210702</v>
      </c>
      <c r="P37" s="229">
        <f t="shared" si="26"/>
        <v>10000000</v>
      </c>
    </row>
    <row r="38" spans="2:16">
      <c r="B38" s="223">
        <v>28</v>
      </c>
      <c r="C38" s="229">
        <f t="shared" si="29"/>
        <v>64340.301100034303</v>
      </c>
      <c r="D38" s="230">
        <f t="shared" si="30"/>
        <v>11.967095665222187</v>
      </c>
      <c r="E38" s="230">
        <f t="shared" si="27"/>
        <v>5376.4340906052021</v>
      </c>
      <c r="F38" s="232">
        <f t="shared" si="31"/>
        <v>835624.63940696954</v>
      </c>
      <c r="G38" s="230">
        <f t="shared" si="21"/>
        <v>0</v>
      </c>
      <c r="H38" s="230">
        <f t="shared" si="22"/>
        <v>10575.960193982284</v>
      </c>
      <c r="I38" s="252"/>
      <c r="J38" s="227">
        <f t="shared" si="28"/>
        <v>1099.8998601741575</v>
      </c>
      <c r="K38" s="229">
        <f t="shared" si="23"/>
        <v>9999999.9999999981</v>
      </c>
      <c r="M38" s="223">
        <v>28</v>
      </c>
      <c r="N38" s="229">
        <f t="shared" si="24"/>
        <v>64340.301100034303</v>
      </c>
      <c r="O38" s="242">
        <f t="shared" si="25"/>
        <v>20074.173943210702</v>
      </c>
      <c r="P38" s="229">
        <f t="shared" si="26"/>
        <v>10000000</v>
      </c>
    </row>
    <row r="39" spans="2:16">
      <c r="B39" s="223">
        <v>29</v>
      </c>
      <c r="C39" s="229">
        <f t="shared" si="29"/>
        <v>64340.301100034303</v>
      </c>
      <c r="D39" s="230">
        <f t="shared" si="30"/>
        <v>12.044092319061518</v>
      </c>
      <c r="E39" s="230">
        <f t="shared" si="27"/>
        <v>5342.0630957973044</v>
      </c>
      <c r="F39" s="232">
        <f t="shared" si="31"/>
        <v>830282.57631117222</v>
      </c>
      <c r="G39" s="230">
        <f t="shared" si="21"/>
        <v>0</v>
      </c>
      <c r="H39" s="230">
        <f t="shared" si="22"/>
        <v>10919.670142061263</v>
      </c>
      <c r="I39" s="252"/>
      <c r="J39" s="227">
        <f t="shared" si="28"/>
        <v>1135.6456947743713</v>
      </c>
      <c r="K39" s="229">
        <f t="shared" si="23"/>
        <v>9999999.9999999981</v>
      </c>
      <c r="M39" s="223">
        <v>29</v>
      </c>
      <c r="N39" s="229">
        <f t="shared" si="24"/>
        <v>64340.301100034303</v>
      </c>
      <c r="O39" s="242">
        <f t="shared" si="25"/>
        <v>20074.173943210702</v>
      </c>
      <c r="P39" s="229">
        <f t="shared" si="26"/>
        <v>10000000</v>
      </c>
    </row>
    <row r="40" spans="2:16">
      <c r="B40" s="223">
        <v>30</v>
      </c>
      <c r="C40" s="229">
        <f t="shared" si="29"/>
        <v>64340.301100034303</v>
      </c>
      <c r="D40" s="230">
        <f t="shared" si="30"/>
        <v>12.121584371690021</v>
      </c>
      <c r="E40" s="230">
        <f t="shared" si="27"/>
        <v>5307.9118312537739</v>
      </c>
      <c r="F40" s="232">
        <f t="shared" si="31"/>
        <v>824974.66447991843</v>
      </c>
      <c r="G40" s="230">
        <f t="shared" si="21"/>
        <v>0</v>
      </c>
      <c r="H40" s="230">
        <f t="shared" si="22"/>
        <v>11261.182787496569</v>
      </c>
      <c r="I40" s="252"/>
      <c r="J40" s="227">
        <f t="shared" si="28"/>
        <v>1171.1630098996434</v>
      </c>
      <c r="K40" s="229">
        <f t="shared" si="23"/>
        <v>9999999.9999999981</v>
      </c>
      <c r="M40" s="223">
        <v>30</v>
      </c>
      <c r="N40" s="229">
        <f t="shared" si="24"/>
        <v>64340.301100034303</v>
      </c>
      <c r="O40" s="242">
        <f t="shared" si="25"/>
        <v>20074.173943210702</v>
      </c>
      <c r="P40" s="229">
        <f t="shared" si="26"/>
        <v>10000000</v>
      </c>
    </row>
    <row r="41" spans="2:16">
      <c r="B41" s="223">
        <v>31</v>
      </c>
      <c r="C41" s="229">
        <f t="shared" si="29"/>
        <v>64340.301100034303</v>
      </c>
      <c r="D41" s="230">
        <f t="shared" si="30"/>
        <v>12.199575010518421</v>
      </c>
      <c r="E41" s="230">
        <f t="shared" si="27"/>
        <v>5273.9788922614416</v>
      </c>
      <c r="F41" s="232">
        <f t="shared" si="31"/>
        <v>819700.68558765703</v>
      </c>
      <c r="G41" s="230">
        <f t="shared" si="21"/>
        <v>0</v>
      </c>
      <c r="H41" s="230">
        <f t="shared" si="22"/>
        <v>11600.512177419891</v>
      </c>
      <c r="I41" s="252"/>
      <c r="J41" s="227">
        <f t="shared" si="28"/>
        <v>1206.4532664516687</v>
      </c>
      <c r="K41" s="229">
        <f t="shared" si="23"/>
        <v>9999999.9999999981</v>
      </c>
      <c r="M41" s="223">
        <v>31</v>
      </c>
      <c r="N41" s="229">
        <f t="shared" si="24"/>
        <v>64340.301100034303</v>
      </c>
      <c r="O41" s="242">
        <f t="shared" si="25"/>
        <v>20074.173943210702</v>
      </c>
      <c r="P41" s="229">
        <f t="shared" si="26"/>
        <v>10000000</v>
      </c>
    </row>
    <row r="42" spans="2:16">
      <c r="B42" s="223">
        <v>32</v>
      </c>
      <c r="C42" s="229">
        <f t="shared" si="29"/>
        <v>64340.301100034303</v>
      </c>
      <c r="D42" s="230">
        <f t="shared" si="30"/>
        <v>12.278067443465343</v>
      </c>
      <c r="E42" s="230">
        <f t="shared" si="27"/>
        <v>5240.2628830873236</v>
      </c>
      <c r="F42" s="232">
        <f t="shared" si="31"/>
        <v>814460.42270456976</v>
      </c>
      <c r="G42" s="230">
        <f t="shared" si="21"/>
        <v>0</v>
      </c>
      <c r="H42" s="230">
        <f t="shared" si="22"/>
        <v>11937.672269161065</v>
      </c>
      <c r="I42" s="252"/>
      <c r="J42" s="227">
        <f t="shared" si="28"/>
        <v>1241.5179159927509</v>
      </c>
      <c r="K42" s="229">
        <f t="shared" si="23"/>
        <v>10000000</v>
      </c>
      <c r="M42" s="223">
        <v>32</v>
      </c>
      <c r="N42" s="229">
        <f t="shared" si="24"/>
        <v>64340.301100034303</v>
      </c>
      <c r="O42" s="242">
        <f t="shared" si="25"/>
        <v>20074.173943210702</v>
      </c>
      <c r="P42" s="229">
        <f t="shared" si="26"/>
        <v>10000000</v>
      </c>
    </row>
    <row r="43" spans="2:16">
      <c r="B43" s="223">
        <v>33</v>
      </c>
      <c r="C43" s="229">
        <f t="shared" si="29"/>
        <v>64340.301100034303</v>
      </c>
      <c r="D43" s="230">
        <f t="shared" si="30"/>
        <v>12.357064899089252</v>
      </c>
      <c r="E43" s="230">
        <f t="shared" si="27"/>
        <v>5206.7624169212177</v>
      </c>
      <c r="F43" s="232">
        <f t="shared" si="31"/>
        <v>809253.66028764856</v>
      </c>
      <c r="G43" s="230">
        <f t="shared" si="21"/>
        <v>0</v>
      </c>
      <c r="H43" s="230">
        <f t="shared" si="22"/>
        <v>12272.676930822121</v>
      </c>
      <c r="I43" s="252"/>
      <c r="J43" s="227">
        <f t="shared" si="28"/>
        <v>1276.3584008055007</v>
      </c>
      <c r="K43" s="229">
        <f t="shared" si="23"/>
        <v>10000000</v>
      </c>
      <c r="M43" s="223">
        <v>33</v>
      </c>
      <c r="N43" s="229">
        <f t="shared" si="24"/>
        <v>64340.301100034303</v>
      </c>
      <c r="O43" s="242">
        <f t="shared" si="25"/>
        <v>20074.173943210702</v>
      </c>
      <c r="P43" s="229">
        <f t="shared" si="26"/>
        <v>10000000</v>
      </c>
    </row>
    <row r="44" spans="2:16">
      <c r="B44" s="223">
        <v>34</v>
      </c>
      <c r="C44" s="229">
        <f t="shared" si="29"/>
        <v>64340.301100034303</v>
      </c>
      <c r="D44" s="230">
        <f t="shared" si="30"/>
        <v>12.436570626721259</v>
      </c>
      <c r="E44" s="230">
        <f t="shared" si="27"/>
        <v>5173.4761158186575</v>
      </c>
      <c r="F44" s="232">
        <f t="shared" si="31"/>
        <v>804080.18417182995</v>
      </c>
      <c r="G44" s="230">
        <f t="shared" si="21"/>
        <v>0</v>
      </c>
      <c r="H44" s="230">
        <f t="shared" si="22"/>
        <v>12605.539941847734</v>
      </c>
      <c r="I44" s="252"/>
      <c r="J44" s="227">
        <f t="shared" si="28"/>
        <v>1310.9761539521644</v>
      </c>
      <c r="K44" s="229">
        <f t="shared" si="23"/>
        <v>10000000.000000002</v>
      </c>
      <c r="M44" s="223">
        <v>34</v>
      </c>
      <c r="N44" s="229">
        <f t="shared" si="24"/>
        <v>64340.301100034303</v>
      </c>
      <c r="O44" s="242">
        <f t="shared" si="25"/>
        <v>20074.173943210702</v>
      </c>
      <c r="P44" s="229">
        <f t="shared" si="26"/>
        <v>10000000</v>
      </c>
    </row>
    <row r="45" spans="2:16">
      <c r="B45" s="223">
        <v>35</v>
      </c>
      <c r="C45" s="229">
        <f t="shared" si="29"/>
        <v>64340.301100034303</v>
      </c>
      <c r="D45" s="230">
        <f t="shared" si="30"/>
        <v>12.516587896598768</v>
      </c>
      <c r="E45" s="230">
        <f t="shared" si="27"/>
        <v>5140.4026106442316</v>
      </c>
      <c r="F45" s="232">
        <f t="shared" si="31"/>
        <v>798939.78156118572</v>
      </c>
      <c r="G45" s="230">
        <f t="shared" si="21"/>
        <v>0</v>
      </c>
      <c r="H45" s="230">
        <f t="shared" si="22"/>
        <v>12936.274993591982</v>
      </c>
      <c r="I45" s="252"/>
      <c r="J45" s="227">
        <f t="shared" si="28"/>
        <v>1345.3725993335663</v>
      </c>
      <c r="K45" s="229">
        <f t="shared" si="23"/>
        <v>10000000</v>
      </c>
      <c r="M45" s="223">
        <v>35</v>
      </c>
      <c r="N45" s="229">
        <f t="shared" si="24"/>
        <v>64340.301100034303</v>
      </c>
      <c r="O45" s="242">
        <f t="shared" si="25"/>
        <v>20074.173943210702</v>
      </c>
      <c r="P45" s="229">
        <f t="shared" si="26"/>
        <v>10000000</v>
      </c>
    </row>
    <row r="46" spans="2:16">
      <c r="B46" s="223">
        <v>36</v>
      </c>
      <c r="C46" s="229">
        <f t="shared" si="29"/>
        <v>64340.301100034303</v>
      </c>
      <c r="D46" s="230">
        <f t="shared" si="30"/>
        <v>12.59711999999999</v>
      </c>
      <c r="E46" s="230">
        <f t="shared" si="27"/>
        <v>5107.5405410152762</v>
      </c>
      <c r="F46" s="227">
        <f t="shared" si="31"/>
        <v>793832.24102017039</v>
      </c>
      <c r="G46" s="230">
        <f t="shared" si="21"/>
        <v>0</v>
      </c>
      <c r="H46" s="230">
        <f t="shared" si="22"/>
        <v>13264.895689881541</v>
      </c>
      <c r="I46" s="252"/>
      <c r="J46" s="227">
        <f t="shared" si="28"/>
        <v>1379.5491517476805</v>
      </c>
      <c r="K46" s="229">
        <f t="shared" si="23"/>
        <v>10000000</v>
      </c>
      <c r="M46" s="223">
        <v>36</v>
      </c>
      <c r="N46" s="229">
        <f t="shared" si="24"/>
        <v>64340.301100034303</v>
      </c>
      <c r="O46" s="242">
        <f t="shared" si="25"/>
        <v>20074.173943210702</v>
      </c>
      <c r="P46" s="229">
        <f t="shared" si="26"/>
        <v>10000000</v>
      </c>
    </row>
    <row r="47" spans="2:16">
      <c r="B47" s="234" t="s">
        <v>386</v>
      </c>
      <c r="C47" s="235">
        <f>SUM(C35:C46)</f>
        <v>772083.61320041155</v>
      </c>
      <c r="D47" s="236"/>
      <c r="E47" s="237"/>
      <c r="F47" s="238"/>
      <c r="G47" s="237"/>
      <c r="H47" s="237"/>
      <c r="I47" s="237"/>
      <c r="J47" s="255">
        <f>SUM(J35:J46)</f>
        <v>14249.85331996489</v>
      </c>
      <c r="K47" s="256"/>
      <c r="M47" s="234" t="s">
        <v>386</v>
      </c>
      <c r="N47" s="235">
        <f t="shared" ref="N47" si="32">SUM(N35:N46)</f>
        <v>772083.61320041155</v>
      </c>
      <c r="O47" s="258">
        <f t="shared" ref="O47" si="33">SUM(O35:O46)</f>
        <v>240890.08731852847</v>
      </c>
      <c r="P47" s="259"/>
    </row>
    <row r="48" spans="2:16">
      <c r="B48" s="239" t="s">
        <v>387</v>
      </c>
      <c r="C48" s="240">
        <f>C47-J47</f>
        <v>757833.75988044671</v>
      </c>
      <c r="D48" s="241"/>
      <c r="E48" s="241"/>
      <c r="F48" s="241"/>
      <c r="G48" s="241"/>
      <c r="H48" s="241"/>
      <c r="I48" s="241"/>
      <c r="J48" s="260">
        <f>IFERROR(J47/C47,0)</f>
        <v>1.845636026504557E-2</v>
      </c>
      <c r="K48" s="261"/>
      <c r="M48" s="239" t="s">
        <v>387</v>
      </c>
      <c r="N48" s="240">
        <f>N47-O47</f>
        <v>531193.52588188311</v>
      </c>
      <c r="O48" s="263">
        <f>IFERROR(O47/N47,0)</f>
        <v>0.31200000000000011</v>
      </c>
      <c r="P48" s="264"/>
    </row>
    <row r="49" spans="2:16">
      <c r="B49" s="223">
        <v>37</v>
      </c>
      <c r="C49" s="229">
        <f>IF(C46=0,0,IF((C46/D49)&gt;F46,IF(F46=0,0,F46*D49),$C$2*((1+$F$2)^(1/12)-1)))</f>
        <v>64340.301100034303</v>
      </c>
      <c r="D49" s="230">
        <f>D46*(1+((1+$F$1)^(1/12)-1))</f>
        <v>12.678170249379315</v>
      </c>
      <c r="E49" s="230">
        <f>IF((C49/D49)&gt;F46,F46,(C49/D49))</f>
        <v>5074.8885552459124</v>
      </c>
      <c r="F49" s="232">
        <f>F46-E49</f>
        <v>788757.35246492445</v>
      </c>
      <c r="G49" s="230"/>
      <c r="H49" s="242">
        <f>E49*(D49-10)</f>
        <v>13591.415547575178</v>
      </c>
      <c r="I49" s="242">
        <f>IF($C$3="Balanced /Equity",0,E49*(D49-FV($F$3,3,,-10)))</f>
        <v>0</v>
      </c>
      <c r="J49" s="227">
        <f>IF($C$3="Balanced /Equity",H49*10.4%,I49*$F$4)</f>
        <v>1413.5072169478185</v>
      </c>
      <c r="K49" s="229">
        <f t="shared" ref="K49:K60" si="34">D49*F49</f>
        <v>10000000</v>
      </c>
      <c r="M49" s="223">
        <v>37</v>
      </c>
      <c r="N49" s="229">
        <f t="shared" ref="N49:N60" si="35">$C$2*((1+$O$1)^(1/12)-1)</f>
        <v>64340.301100034303</v>
      </c>
      <c r="O49" s="242">
        <f t="shared" ref="O49:O60" si="36">N49*$F$4</f>
        <v>20074.173943210702</v>
      </c>
      <c r="P49" s="229">
        <f t="shared" ref="P49:P60" si="37">$C$2</f>
        <v>10000000</v>
      </c>
    </row>
    <row r="50" spans="2:16">
      <c r="B50" s="223">
        <v>38</v>
      </c>
      <c r="C50" s="229">
        <f>IF(C49=0,0,IF((C49/D50)&gt;F49,IF(F49=0,0,F49*D50),$C$2*((1+$F$2)^(1/12)-1)))</f>
        <v>64340.301100034303</v>
      </c>
      <c r="D50" s="230">
        <f>D49*(1+((1+$F$1)^(1/12)-1))</f>
        <v>12.759741978503572</v>
      </c>
      <c r="E50" s="230">
        <f t="shared" ref="E50:E60" si="38">IF((C50/D50)&gt;F49,F49,(C50/D50))</f>
        <v>5042.4453102914513</v>
      </c>
      <c r="F50" s="232">
        <f>F49-E50</f>
        <v>783714.90715463297</v>
      </c>
      <c r="G50" s="230"/>
      <c r="H50" s="242">
        <f t="shared" ref="H50:H60" si="39">E50*(D50-10)</f>
        <v>13915.847997119785</v>
      </c>
      <c r="I50" s="242">
        <f t="shared" ref="I50:I60" si="40">IF($C$3="Balanced /Equity",0,E50*(D50-FV($F$3,3,,-10)))</f>
        <v>0</v>
      </c>
      <c r="J50" s="227">
        <f t="shared" ref="J50:J60" si="41">IF($C$3="Balanced /Equity",H50*10.4%,I50*$F$4)</f>
        <v>1447.2481917004577</v>
      </c>
      <c r="K50" s="229">
        <f t="shared" si="34"/>
        <v>10000000</v>
      </c>
      <c r="M50" s="223">
        <v>38</v>
      </c>
      <c r="N50" s="229">
        <f t="shared" si="35"/>
        <v>64340.301100034303</v>
      </c>
      <c r="O50" s="242">
        <f t="shared" si="36"/>
        <v>20074.173943210702</v>
      </c>
      <c r="P50" s="229">
        <f t="shared" si="37"/>
        <v>10000000</v>
      </c>
    </row>
    <row r="51" spans="2:16">
      <c r="B51" s="223">
        <v>39</v>
      </c>
      <c r="C51" s="229">
        <f t="shared" ref="C51:C60" si="42">IF(C50=0,0,IF((C50/D51)&gt;F50,IF(F50=0,0,F50*D51),$C$2*((1+$F$2)^(1/12)-1)))</f>
        <v>64340.301100034303</v>
      </c>
      <c r="D51" s="230">
        <f t="shared" ref="D51:D60" si="43">D50*(1+((1+$F$1)^(1/12)-1))</f>
        <v>12.841838542589139</v>
      </c>
      <c r="E51" s="230">
        <f t="shared" si="38"/>
        <v>5010.2094716931533</v>
      </c>
      <c r="F51" s="232">
        <f t="shared" ref="F51:F60" si="44">F50-E51</f>
        <v>778704.69768293982</v>
      </c>
      <c r="G51" s="230"/>
      <c r="H51" s="242">
        <f t="shared" si="39"/>
        <v>14238.206383102772</v>
      </c>
      <c r="I51" s="242">
        <f t="shared" si="40"/>
        <v>0</v>
      </c>
      <c r="J51" s="227">
        <f t="shared" si="41"/>
        <v>1480.7734638426884</v>
      </c>
      <c r="K51" s="229">
        <f t="shared" si="34"/>
        <v>10000000</v>
      </c>
      <c r="M51" s="223">
        <v>39</v>
      </c>
      <c r="N51" s="229">
        <f t="shared" si="35"/>
        <v>64340.301100034303</v>
      </c>
      <c r="O51" s="242">
        <f t="shared" si="36"/>
        <v>20074.173943210702</v>
      </c>
      <c r="P51" s="229">
        <f t="shared" si="37"/>
        <v>10000000</v>
      </c>
    </row>
    <row r="52" spans="2:16">
      <c r="B52" s="223">
        <v>40</v>
      </c>
      <c r="C52" s="229">
        <f t="shared" si="42"/>
        <v>64340.301100034303</v>
      </c>
      <c r="D52" s="230">
        <f t="shared" si="43"/>
        <v>12.92446331843996</v>
      </c>
      <c r="E52" s="230">
        <f t="shared" si="38"/>
        <v>4978.1797135233355</v>
      </c>
      <c r="F52" s="232">
        <f t="shared" si="44"/>
        <v>773726.51796941645</v>
      </c>
      <c r="G52" s="230"/>
      <c r="H52" s="242">
        <f t="shared" si="39"/>
        <v>14558.503964800942</v>
      </c>
      <c r="I52" s="242">
        <f t="shared" si="40"/>
        <v>0</v>
      </c>
      <c r="J52" s="227">
        <f t="shared" si="41"/>
        <v>1514.0844123392981</v>
      </c>
      <c r="K52" s="229">
        <f t="shared" si="34"/>
        <v>10000000</v>
      </c>
      <c r="M52" s="223">
        <v>40</v>
      </c>
      <c r="N52" s="229">
        <f t="shared" si="35"/>
        <v>64340.301100034303</v>
      </c>
      <c r="O52" s="242">
        <f t="shared" si="36"/>
        <v>20074.173943210702</v>
      </c>
      <c r="P52" s="229">
        <f t="shared" si="37"/>
        <v>10000000</v>
      </c>
    </row>
    <row r="53" spans="2:16">
      <c r="B53" s="223">
        <v>41</v>
      </c>
      <c r="C53" s="229">
        <f t="shared" si="42"/>
        <v>64340.301100034303</v>
      </c>
      <c r="D53" s="230">
        <f t="shared" si="43"/>
        <v>13.007619704586437</v>
      </c>
      <c r="E53" s="230">
        <f t="shared" si="38"/>
        <v>4946.3547183308383</v>
      </c>
      <c r="F53" s="232">
        <f t="shared" si="44"/>
        <v>768780.16325108567</v>
      </c>
      <c r="G53" s="230"/>
      <c r="H53" s="242">
        <f t="shared" si="39"/>
        <v>14876.753916725926</v>
      </c>
      <c r="I53" s="242">
        <f t="shared" si="40"/>
        <v>0</v>
      </c>
      <c r="J53" s="227">
        <f t="shared" si="41"/>
        <v>1547.1824073394964</v>
      </c>
      <c r="K53" s="229">
        <f t="shared" si="34"/>
        <v>10000000</v>
      </c>
      <c r="M53" s="223">
        <v>41</v>
      </c>
      <c r="N53" s="229">
        <f t="shared" si="35"/>
        <v>64340.301100034303</v>
      </c>
      <c r="O53" s="242">
        <f t="shared" si="36"/>
        <v>20074.173943210702</v>
      </c>
      <c r="P53" s="229">
        <f t="shared" si="37"/>
        <v>10000000</v>
      </c>
    </row>
    <row r="54" spans="2:16">
      <c r="B54" s="223">
        <v>42</v>
      </c>
      <c r="C54" s="229">
        <f t="shared" si="42"/>
        <v>64340.301100034303</v>
      </c>
      <c r="D54" s="230">
        <f t="shared" si="43"/>
        <v>13.091311121425221</v>
      </c>
      <c r="E54" s="230">
        <f t="shared" si="38"/>
        <v>4914.7331770868277</v>
      </c>
      <c r="F54" s="232">
        <f t="shared" si="44"/>
        <v>763865.43007399887</v>
      </c>
      <c r="G54" s="230"/>
      <c r="H54" s="242">
        <f t="shared" si="39"/>
        <v>15192.969329166021</v>
      </c>
      <c r="I54" s="242">
        <f t="shared" si="40"/>
        <v>0</v>
      </c>
      <c r="J54" s="227">
        <f t="shared" si="41"/>
        <v>1580.0688102332663</v>
      </c>
      <c r="K54" s="229">
        <f t="shared" si="34"/>
        <v>10000000.000000002</v>
      </c>
      <c r="M54" s="223">
        <v>42</v>
      </c>
      <c r="N54" s="229">
        <f t="shared" si="35"/>
        <v>64340.301100034303</v>
      </c>
      <c r="O54" s="242">
        <f t="shared" si="36"/>
        <v>20074.173943210702</v>
      </c>
      <c r="P54" s="229">
        <f t="shared" si="37"/>
        <v>10000000</v>
      </c>
    </row>
    <row r="55" spans="2:16">
      <c r="B55" s="223">
        <v>43</v>
      </c>
      <c r="C55" s="229">
        <f t="shared" si="42"/>
        <v>64340.301100034303</v>
      </c>
      <c r="D55" s="230">
        <f t="shared" si="43"/>
        <v>13.175541011359893</v>
      </c>
      <c r="E55" s="230">
        <f t="shared" si="38"/>
        <v>4883.3137891309643</v>
      </c>
      <c r="F55" s="232">
        <f t="shared" si="44"/>
        <v>758982.11628486787</v>
      </c>
      <c r="G55" s="230"/>
      <c r="H55" s="242">
        <f t="shared" si="39"/>
        <v>15507.163208724656</v>
      </c>
      <c r="I55" s="242">
        <f t="shared" si="40"/>
        <v>0</v>
      </c>
      <c r="J55" s="227">
        <f t="shared" si="41"/>
        <v>1612.7449737073644</v>
      </c>
      <c r="K55" s="229">
        <f t="shared" si="34"/>
        <v>10000000</v>
      </c>
      <c r="M55" s="223">
        <v>43</v>
      </c>
      <c r="N55" s="229">
        <f t="shared" si="35"/>
        <v>64340.301100034303</v>
      </c>
      <c r="O55" s="242">
        <f t="shared" si="36"/>
        <v>20074.173943210702</v>
      </c>
      <c r="P55" s="229">
        <f t="shared" si="37"/>
        <v>10000000</v>
      </c>
    </row>
    <row r="56" spans="2:16">
      <c r="B56" s="223">
        <v>44</v>
      </c>
      <c r="C56" s="229">
        <f t="shared" si="42"/>
        <v>64340.301100034303</v>
      </c>
      <c r="D56" s="230">
        <f t="shared" si="43"/>
        <v>13.260312838942568</v>
      </c>
      <c r="E56" s="230">
        <f t="shared" si="38"/>
        <v>4852.0952621178931</v>
      </c>
      <c r="F56" s="232">
        <f t="shared" si="44"/>
        <v>754130.02102274995</v>
      </c>
      <c r="G56" s="230"/>
      <c r="H56" s="242">
        <f t="shared" si="39"/>
        <v>15819.348478855371</v>
      </c>
      <c r="I56" s="242">
        <f t="shared" si="40"/>
        <v>0</v>
      </c>
      <c r="J56" s="227">
        <f t="shared" si="41"/>
        <v>1645.2122418009587</v>
      </c>
      <c r="K56" s="229">
        <f t="shared" si="34"/>
        <v>10000000</v>
      </c>
      <c r="M56" s="223">
        <v>44</v>
      </c>
      <c r="N56" s="229">
        <f t="shared" si="35"/>
        <v>64340.301100034303</v>
      </c>
      <c r="O56" s="242">
        <f t="shared" si="36"/>
        <v>20074.173943210702</v>
      </c>
      <c r="P56" s="229">
        <f t="shared" si="37"/>
        <v>10000000</v>
      </c>
    </row>
    <row r="57" spans="2:16">
      <c r="B57" s="223">
        <v>45</v>
      </c>
      <c r="C57" s="229">
        <f t="shared" si="42"/>
        <v>64340.301100034303</v>
      </c>
      <c r="D57" s="230">
        <f t="shared" si="43"/>
        <v>13.345630091016389</v>
      </c>
      <c r="E57" s="230">
        <f t="shared" si="38"/>
        <v>4821.0763119640924</v>
      </c>
      <c r="F57" s="232">
        <f t="shared" si="44"/>
        <v>749308.94471078587</v>
      </c>
      <c r="G57" s="230"/>
      <c r="H57" s="242">
        <f t="shared" si="39"/>
        <v>16129.537980393383</v>
      </c>
      <c r="I57" s="242">
        <f t="shared" si="40"/>
        <v>0</v>
      </c>
      <c r="J57" s="227">
        <f t="shared" si="41"/>
        <v>1677.4719499609121</v>
      </c>
      <c r="K57" s="229">
        <f t="shared" si="34"/>
        <v>10000000</v>
      </c>
      <c r="M57" s="223">
        <v>45</v>
      </c>
      <c r="N57" s="229">
        <f t="shared" si="35"/>
        <v>64340.301100034303</v>
      </c>
      <c r="O57" s="242">
        <f t="shared" si="36"/>
        <v>20074.173943210702</v>
      </c>
      <c r="P57" s="229">
        <f t="shared" si="37"/>
        <v>10000000</v>
      </c>
    </row>
    <row r="58" spans="2:16">
      <c r="B58" s="223">
        <v>46</v>
      </c>
      <c r="C58" s="229">
        <f t="shared" si="42"/>
        <v>64340.301100034303</v>
      </c>
      <c r="D58" s="230">
        <f t="shared" si="43"/>
        <v>13.431496276858956</v>
      </c>
      <c r="E58" s="230">
        <f t="shared" si="38"/>
        <v>4790.2556627950544</v>
      </c>
      <c r="F58" s="232">
        <f t="shared" si="44"/>
        <v>744518.68904799083</v>
      </c>
      <c r="G58" s="230"/>
      <c r="H58" s="242">
        <f t="shared" si="39"/>
        <v>16437.744472083763</v>
      </c>
      <c r="I58" s="242">
        <f t="shared" si="40"/>
        <v>0</v>
      </c>
      <c r="J58" s="227">
        <f t="shared" si="41"/>
        <v>1709.5254250967114</v>
      </c>
      <c r="K58" s="229">
        <f t="shared" si="34"/>
        <v>10000000</v>
      </c>
      <c r="M58" s="223">
        <v>46</v>
      </c>
      <c r="N58" s="229">
        <f t="shared" si="35"/>
        <v>64340.301100034303</v>
      </c>
      <c r="O58" s="242">
        <f t="shared" si="36"/>
        <v>20074.173943210702</v>
      </c>
      <c r="P58" s="229">
        <f t="shared" si="37"/>
        <v>10000000</v>
      </c>
    </row>
    <row r="59" spans="2:16">
      <c r="B59" s="223">
        <v>47</v>
      </c>
      <c r="C59" s="229">
        <f t="shared" si="42"/>
        <v>64340.301100034303</v>
      </c>
      <c r="D59" s="230">
        <f t="shared" si="43"/>
        <v>13.517914928326666</v>
      </c>
      <c r="E59" s="230">
        <f t="shared" si="38"/>
        <v>4759.6320468928088</v>
      </c>
      <c r="F59" s="232">
        <f t="shared" si="44"/>
        <v>739759.05700109806</v>
      </c>
      <c r="G59" s="230"/>
      <c r="H59" s="242">
        <f t="shared" si="39"/>
        <v>16743.98063110622</v>
      </c>
      <c r="I59" s="242">
        <f t="shared" si="40"/>
        <v>0</v>
      </c>
      <c r="J59" s="227">
        <f t="shared" si="41"/>
        <v>1741.3739856350471</v>
      </c>
      <c r="K59" s="229">
        <f t="shared" si="34"/>
        <v>10000000</v>
      </c>
      <c r="M59" s="223">
        <v>47</v>
      </c>
      <c r="N59" s="229">
        <f t="shared" si="35"/>
        <v>64340.301100034303</v>
      </c>
      <c r="O59" s="242">
        <f t="shared" si="36"/>
        <v>20074.173943210702</v>
      </c>
      <c r="P59" s="229">
        <f t="shared" si="37"/>
        <v>10000000</v>
      </c>
    </row>
    <row r="60" spans="2:16">
      <c r="B60" s="223">
        <v>48</v>
      </c>
      <c r="C60" s="229">
        <f t="shared" si="42"/>
        <v>64340.301100034303</v>
      </c>
      <c r="D60" s="230">
        <f t="shared" si="43"/>
        <v>13.604889599999986</v>
      </c>
      <c r="E60" s="230">
        <f t="shared" si="38"/>
        <v>4729.2042046437755</v>
      </c>
      <c r="F60" s="227">
        <f t="shared" si="44"/>
        <v>735029.85279645433</v>
      </c>
      <c r="G60" s="230"/>
      <c r="H60" s="242">
        <f t="shared" si="39"/>
        <v>17048.25905359655</v>
      </c>
      <c r="I60" s="242">
        <f t="shared" si="40"/>
        <v>0</v>
      </c>
      <c r="J60" s="227">
        <f t="shared" si="41"/>
        <v>1773.0189415740413</v>
      </c>
      <c r="K60" s="229">
        <f t="shared" si="34"/>
        <v>10000000.000000002</v>
      </c>
      <c r="M60" s="223">
        <v>48</v>
      </c>
      <c r="N60" s="229">
        <f t="shared" si="35"/>
        <v>64340.301100034303</v>
      </c>
      <c r="O60" s="242">
        <f t="shared" si="36"/>
        <v>20074.173943210702</v>
      </c>
      <c r="P60" s="229">
        <f t="shared" si="37"/>
        <v>10000000</v>
      </c>
    </row>
    <row r="61" spans="2:16">
      <c r="B61" s="234" t="s">
        <v>386</v>
      </c>
      <c r="C61" s="235">
        <f>SUM(C49:C60)</f>
        <v>772083.61320041155</v>
      </c>
      <c r="D61" s="236"/>
      <c r="E61" s="237"/>
      <c r="F61" s="238"/>
      <c r="G61" s="237"/>
      <c r="H61" s="237"/>
      <c r="I61" s="237"/>
      <c r="J61" s="255">
        <f>SUM(J49:J60)</f>
        <v>19142.21202017806</v>
      </c>
      <c r="K61" s="256"/>
      <c r="M61" s="234" t="s">
        <v>386</v>
      </c>
      <c r="N61" s="235">
        <f t="shared" ref="N61" si="45">SUM(N49:N60)</f>
        <v>772083.61320041155</v>
      </c>
      <c r="O61" s="258">
        <f t="shared" ref="O61" si="46">SUM(O49:O60)</f>
        <v>240890.08731852847</v>
      </c>
      <c r="P61" s="259"/>
    </row>
    <row r="62" spans="2:16">
      <c r="B62" s="239" t="s">
        <v>387</v>
      </c>
      <c r="C62" s="240">
        <f>C61-J61</f>
        <v>752941.40118023346</v>
      </c>
      <c r="D62" s="241"/>
      <c r="E62" s="241"/>
      <c r="F62" s="241"/>
      <c r="G62" s="241"/>
      <c r="H62" s="241"/>
      <c r="I62" s="241"/>
      <c r="J62" s="260">
        <f>IFERROR(J61/C61,0)</f>
        <v>2.4792926171338481E-2</v>
      </c>
      <c r="K62" s="261"/>
      <c r="M62" s="239" t="s">
        <v>387</v>
      </c>
      <c r="N62" s="240">
        <f>N61-O61</f>
        <v>531193.52588188311</v>
      </c>
      <c r="O62" s="263">
        <f>IFERROR(O61/N61,0)</f>
        <v>0.31200000000000011</v>
      </c>
      <c r="P62" s="264"/>
    </row>
    <row r="63" spans="2:16">
      <c r="B63" s="223">
        <v>49</v>
      </c>
      <c r="C63" s="229">
        <f>IF(C60=0,0,IF((C60/D63)&gt;F60,IF(F60=0,0,F60*D63),$C$2*((1+$F$2)^(1/12)-1)))</f>
        <v>64340.301100034303</v>
      </c>
      <c r="D63" s="230">
        <f>D60*(1+((1+$F$1)^(1/12)-1))</f>
        <v>13.692423869329659</v>
      </c>
      <c r="E63" s="230">
        <f>IF((C63/D63)&gt;F60,F60,(C63/D63))</f>
        <v>4698.9708844869565</v>
      </c>
      <c r="F63" s="232">
        <f>F60-E63</f>
        <v>730330.88191196742</v>
      </c>
      <c r="G63" s="230"/>
      <c r="H63" s="242">
        <f>E63*(D63-10)</f>
        <v>17350.592255164738</v>
      </c>
      <c r="I63" s="242">
        <f>IF($C$3="Balanced /Equity",0,E63*(D63-FV($F$3,4,,-10)))</f>
        <v>0</v>
      </c>
      <c r="J63" s="227">
        <f>IF($C$3="Balanced /Equity",H63*10.4%,I63*$F$4)</f>
        <v>1804.4615945371329</v>
      </c>
      <c r="K63" s="229">
        <f t="shared" ref="K63:K74" si="47">D63*F63</f>
        <v>10000000.000000004</v>
      </c>
      <c r="M63" s="223">
        <v>49</v>
      </c>
      <c r="N63" s="229">
        <f t="shared" ref="N63:N74" si="48">$C$2*((1+$O$1)^(1/12)-1)</f>
        <v>64340.301100034303</v>
      </c>
      <c r="O63" s="242">
        <f t="shared" ref="O63:O74" si="49">N63*$F$4</f>
        <v>20074.173943210702</v>
      </c>
      <c r="P63" s="229">
        <f t="shared" ref="P63:P74" si="50">$C$2</f>
        <v>10000000</v>
      </c>
    </row>
    <row r="64" spans="2:16">
      <c r="B64" s="223">
        <v>50</v>
      </c>
      <c r="C64" s="229">
        <f>IF(C63=0,0,IF((C63/D64)&gt;F63,IF(F63=0,0,F63*D64),$C$2*((1+$F$2)^(1/12)-1)))</f>
        <v>64340.301100034303</v>
      </c>
      <c r="D64" s="230">
        <f>D63*(1+((1+$F$1)^(1/12)-1))</f>
        <v>13.780521336783856</v>
      </c>
      <c r="E64" s="230">
        <f t="shared" ref="E64:E74" si="51">IF((C64/D64)&gt;F63,F63,(C64/D64))</f>
        <v>4668.9308428624554</v>
      </c>
      <c r="F64" s="232">
        <f>F63-E64</f>
        <v>725661.95106910495</v>
      </c>
      <c r="G64" s="230"/>
      <c r="H64" s="242">
        <f t="shared" ref="H64:H74" si="52">E64*(D64-10)</f>
        <v>17650.992671409746</v>
      </c>
      <c r="I64" s="242">
        <f t="shared" ref="I64:I74" si="53">IF($C$3="Balanced /Equity",0,E64*(D64-FV($F$3,4,,-10)))</f>
        <v>0</v>
      </c>
      <c r="J64" s="227">
        <f t="shared" ref="J64:J74" si="54">IF($C$3="Balanced /Equity",H64*10.4%,I64*$F$4)</f>
        <v>1835.7032378266138</v>
      </c>
      <c r="K64" s="229">
        <f t="shared" si="47"/>
        <v>10000000.000000004</v>
      </c>
      <c r="M64" s="223">
        <v>50</v>
      </c>
      <c r="N64" s="229">
        <f t="shared" si="48"/>
        <v>64340.301100034303</v>
      </c>
      <c r="O64" s="242">
        <f t="shared" si="49"/>
        <v>20074.173943210702</v>
      </c>
      <c r="P64" s="229">
        <f t="shared" si="50"/>
        <v>10000000</v>
      </c>
    </row>
    <row r="65" spans="2:16">
      <c r="B65" s="223">
        <v>51</v>
      </c>
      <c r="C65" s="229">
        <f t="shared" ref="C65:C74" si="55">IF(C64=0,0,IF((C64/D65)&gt;F64,IF(F64=0,0,F64*D65),$C$2*((1+$F$2)^(1/12)-1)))</f>
        <v>64340.301100034303</v>
      </c>
      <c r="D65" s="230">
        <f t="shared" ref="D65:D74" si="56">D64*(1+((1+$F$1)^(1/12)-1))</f>
        <v>13.869185625996268</v>
      </c>
      <c r="E65" s="230">
        <f t="shared" si="51"/>
        <v>4639.082844160328</v>
      </c>
      <c r="F65" s="232">
        <f t="shared" ref="F65:F74" si="57">F64-E65</f>
        <v>721022.86822494457</v>
      </c>
      <c r="G65" s="230"/>
      <c r="H65" s="242">
        <f t="shared" si="52"/>
        <v>17949.472658431027</v>
      </c>
      <c r="I65" s="242">
        <f t="shared" si="53"/>
        <v>0</v>
      </c>
      <c r="J65" s="227">
        <f t="shared" si="54"/>
        <v>1866.7451564768269</v>
      </c>
      <c r="K65" s="229">
        <f t="shared" si="47"/>
        <v>10000000.000000002</v>
      </c>
      <c r="M65" s="223">
        <v>51</v>
      </c>
      <c r="N65" s="229">
        <f t="shared" si="48"/>
        <v>64340.301100034303</v>
      </c>
      <c r="O65" s="242">
        <f t="shared" si="49"/>
        <v>20074.173943210702</v>
      </c>
      <c r="P65" s="229">
        <f t="shared" si="50"/>
        <v>10000000</v>
      </c>
    </row>
    <row r="66" spans="2:16">
      <c r="B66" s="223">
        <v>52</v>
      </c>
      <c r="C66" s="229">
        <f t="shared" si="55"/>
        <v>64340.301100034303</v>
      </c>
      <c r="D66" s="230">
        <f t="shared" si="56"/>
        <v>13.958420383915154</v>
      </c>
      <c r="E66" s="230">
        <f t="shared" si="51"/>
        <v>4609.4256606697563</v>
      </c>
      <c r="F66" s="232">
        <f t="shared" si="57"/>
        <v>716413.44256427477</v>
      </c>
      <c r="G66" s="230"/>
      <c r="H66" s="242">
        <f t="shared" si="52"/>
        <v>18246.04449333674</v>
      </c>
      <c r="I66" s="242">
        <f t="shared" si="53"/>
        <v>0</v>
      </c>
      <c r="J66" s="227">
        <f t="shared" si="54"/>
        <v>1897.5886273070212</v>
      </c>
      <c r="K66" s="229">
        <f t="shared" si="47"/>
        <v>10000000.000000002</v>
      </c>
      <c r="M66" s="223">
        <v>52</v>
      </c>
      <c r="N66" s="229">
        <f t="shared" si="48"/>
        <v>64340.301100034303</v>
      </c>
      <c r="O66" s="242">
        <f t="shared" si="49"/>
        <v>20074.173943210702</v>
      </c>
      <c r="P66" s="229">
        <f t="shared" si="50"/>
        <v>10000000</v>
      </c>
    </row>
    <row r="67" spans="2:16">
      <c r="B67" s="223">
        <v>53</v>
      </c>
      <c r="C67" s="229">
        <f t="shared" si="55"/>
        <v>64340.301100034303</v>
      </c>
      <c r="D67" s="230">
        <f t="shared" si="56"/>
        <v>14.04822928095335</v>
      </c>
      <c r="E67" s="230">
        <f t="shared" si="51"/>
        <v>4579.9580725285541</v>
      </c>
      <c r="F67" s="232">
        <f t="shared" si="57"/>
        <v>711833.48449174617</v>
      </c>
      <c r="G67" s="230"/>
      <c r="H67" s="242">
        <f t="shared" si="52"/>
        <v>18540.720374748762</v>
      </c>
      <c r="I67" s="242">
        <f t="shared" si="53"/>
        <v>0</v>
      </c>
      <c r="J67" s="227">
        <f t="shared" si="54"/>
        <v>1928.2349189738713</v>
      </c>
      <c r="K67" s="229">
        <f t="shared" si="47"/>
        <v>10000000.000000002</v>
      </c>
      <c r="M67" s="223">
        <v>53</v>
      </c>
      <c r="N67" s="229">
        <f t="shared" si="48"/>
        <v>64340.301100034303</v>
      </c>
      <c r="O67" s="242">
        <f t="shared" si="49"/>
        <v>20074.173943210702</v>
      </c>
      <c r="P67" s="229">
        <f t="shared" si="50"/>
        <v>10000000</v>
      </c>
    </row>
    <row r="68" spans="2:16">
      <c r="B68" s="223">
        <v>54</v>
      </c>
      <c r="C68" s="229">
        <f t="shared" si="55"/>
        <v>64340.301100034303</v>
      </c>
      <c r="D68" s="230">
        <f t="shared" si="56"/>
        <v>14.138616011139236</v>
      </c>
      <c r="E68" s="230">
        <f t="shared" si="51"/>
        <v>4550.6788676729902</v>
      </c>
      <c r="F68" s="232">
        <f t="shared" si="57"/>
        <v>707282.80562407314</v>
      </c>
      <c r="G68" s="230"/>
      <c r="H68" s="242">
        <f t="shared" si="52"/>
        <v>18833.512423304408</v>
      </c>
      <c r="I68" s="242">
        <f t="shared" si="53"/>
        <v>0</v>
      </c>
      <c r="J68" s="227">
        <f t="shared" si="54"/>
        <v>1958.6852920236586</v>
      </c>
      <c r="K68" s="229">
        <f t="shared" si="47"/>
        <v>10000000</v>
      </c>
      <c r="M68" s="223">
        <v>54</v>
      </c>
      <c r="N68" s="229">
        <f t="shared" si="48"/>
        <v>64340.301100034303</v>
      </c>
      <c r="O68" s="242">
        <f t="shared" si="49"/>
        <v>20074.173943210702</v>
      </c>
      <c r="P68" s="229">
        <f t="shared" si="50"/>
        <v>10000000</v>
      </c>
    </row>
    <row r="69" spans="2:16">
      <c r="B69" s="223">
        <v>55</v>
      </c>
      <c r="C69" s="229">
        <f t="shared" si="55"/>
        <v>64340.301100034303</v>
      </c>
      <c r="D69" s="230">
        <f t="shared" si="56"/>
        <v>14.229584292268683</v>
      </c>
      <c r="E69" s="230">
        <f t="shared" si="51"/>
        <v>4521.586841787931</v>
      </c>
      <c r="F69" s="232">
        <f t="shared" si="57"/>
        <v>702761.21878228523</v>
      </c>
      <c r="G69" s="230"/>
      <c r="H69" s="242">
        <f t="shared" si="52"/>
        <v>19124.432682154995</v>
      </c>
      <c r="I69" s="242">
        <f t="shared" si="53"/>
        <v>0</v>
      </c>
      <c r="J69" s="227">
        <f t="shared" si="54"/>
        <v>1988.9409989441197</v>
      </c>
      <c r="K69" s="229">
        <f t="shared" si="47"/>
        <v>10000000.000000002</v>
      </c>
      <c r="M69" s="223">
        <v>55</v>
      </c>
      <c r="N69" s="229">
        <f t="shared" si="48"/>
        <v>64340.301100034303</v>
      </c>
      <c r="O69" s="242">
        <f t="shared" si="49"/>
        <v>20074.173943210702</v>
      </c>
      <c r="P69" s="229">
        <f t="shared" si="50"/>
        <v>10000000</v>
      </c>
    </row>
    <row r="70" spans="2:16">
      <c r="B70" s="223">
        <v>56</v>
      </c>
      <c r="C70" s="229">
        <f t="shared" si="55"/>
        <v>64340.301100034303</v>
      </c>
      <c r="D70" s="230">
        <f t="shared" si="56"/>
        <v>14.321137866057972</v>
      </c>
      <c r="E70" s="230">
        <f t="shared" si="51"/>
        <v>4492.6807982573091</v>
      </c>
      <c r="F70" s="232">
        <f t="shared" si="57"/>
        <v>698268.53798402788</v>
      </c>
      <c r="G70" s="230"/>
      <c r="H70" s="242">
        <f t="shared" si="52"/>
        <v>19413.493117461217</v>
      </c>
      <c r="I70" s="242">
        <f t="shared" si="53"/>
        <v>0</v>
      </c>
      <c r="J70" s="227">
        <f t="shared" si="54"/>
        <v>2019.0032842159667</v>
      </c>
      <c r="K70" s="229">
        <f t="shared" si="47"/>
        <v>10000000.000000002</v>
      </c>
      <c r="M70" s="223">
        <v>56</v>
      </c>
      <c r="N70" s="229">
        <f t="shared" si="48"/>
        <v>64340.301100034303</v>
      </c>
      <c r="O70" s="242">
        <f t="shared" si="49"/>
        <v>20074.173943210702</v>
      </c>
      <c r="P70" s="229">
        <f t="shared" si="50"/>
        <v>10000000</v>
      </c>
    </row>
    <row r="71" spans="2:16">
      <c r="B71" s="223">
        <v>57</v>
      </c>
      <c r="C71" s="229">
        <f t="shared" si="55"/>
        <v>64340.301100034303</v>
      </c>
      <c r="D71" s="230">
        <f t="shared" si="56"/>
        <v>14.4132804982977</v>
      </c>
      <c r="E71" s="230">
        <f t="shared" si="51"/>
        <v>4463.9595481148999</v>
      </c>
      <c r="F71" s="232">
        <f t="shared" si="57"/>
        <v>693804.57843591296</v>
      </c>
      <c r="G71" s="230"/>
      <c r="H71" s="242">
        <f t="shared" si="52"/>
        <v>19700.705618885302</v>
      </c>
      <c r="I71" s="242">
        <f t="shared" si="53"/>
        <v>0</v>
      </c>
      <c r="J71" s="227">
        <f t="shared" si="54"/>
        <v>2048.8733843640716</v>
      </c>
      <c r="K71" s="229">
        <f t="shared" si="47"/>
        <v>10000000.000000002</v>
      </c>
      <c r="M71" s="223">
        <v>57</v>
      </c>
      <c r="N71" s="229">
        <f t="shared" si="48"/>
        <v>64340.301100034303</v>
      </c>
      <c r="O71" s="242">
        <f t="shared" si="49"/>
        <v>20074.173943210702</v>
      </c>
      <c r="P71" s="229">
        <f t="shared" si="50"/>
        <v>10000000</v>
      </c>
    </row>
    <row r="72" spans="2:16">
      <c r="B72" s="223">
        <v>58</v>
      </c>
      <c r="C72" s="229">
        <f t="shared" si="55"/>
        <v>64340.301100034303</v>
      </c>
      <c r="D72" s="230">
        <f t="shared" si="56"/>
        <v>14.506015979007673</v>
      </c>
      <c r="E72" s="230">
        <f t="shared" si="51"/>
        <v>4435.4219099954207</v>
      </c>
      <c r="F72" s="232">
        <f t="shared" si="57"/>
        <v>689369.15652591758</v>
      </c>
      <c r="G72" s="230"/>
      <c r="H72" s="242">
        <f t="shared" si="52"/>
        <v>19986.0820000801</v>
      </c>
      <c r="I72" s="242">
        <f t="shared" si="53"/>
        <v>0</v>
      </c>
      <c r="J72" s="227">
        <f t="shared" si="54"/>
        <v>2078.5525280083307</v>
      </c>
      <c r="K72" s="229">
        <f t="shared" si="47"/>
        <v>10000000.000000002</v>
      </c>
      <c r="M72" s="223">
        <v>58</v>
      </c>
      <c r="N72" s="229">
        <f t="shared" si="48"/>
        <v>64340.301100034303</v>
      </c>
      <c r="O72" s="242">
        <f t="shared" si="49"/>
        <v>20074.173943210702</v>
      </c>
      <c r="P72" s="229">
        <f t="shared" si="50"/>
        <v>10000000</v>
      </c>
    </row>
    <row r="73" spans="2:16">
      <c r="B73" s="223">
        <v>59</v>
      </c>
      <c r="C73" s="229">
        <f t="shared" si="55"/>
        <v>64340.301100034303</v>
      </c>
      <c r="D73" s="230">
        <f t="shared" si="56"/>
        <v>14.599348122592799</v>
      </c>
      <c r="E73" s="230">
        <f t="shared" si="51"/>
        <v>4407.0667100859337</v>
      </c>
      <c r="F73" s="232">
        <f t="shared" si="57"/>
        <v>684962.08981583163</v>
      </c>
      <c r="G73" s="230"/>
      <c r="H73" s="242">
        <f t="shared" si="52"/>
        <v>20269.633999174963</v>
      </c>
      <c r="I73" s="242">
        <f t="shared" si="53"/>
        <v>0</v>
      </c>
      <c r="J73" s="227">
        <f t="shared" si="54"/>
        <v>2108.0419359141965</v>
      </c>
      <c r="K73" s="229">
        <f t="shared" si="47"/>
        <v>10000000.000000002</v>
      </c>
      <c r="M73" s="223">
        <v>59</v>
      </c>
      <c r="N73" s="229">
        <f t="shared" si="48"/>
        <v>64340.301100034303</v>
      </c>
      <c r="O73" s="242">
        <f t="shared" si="49"/>
        <v>20074.173943210702</v>
      </c>
      <c r="P73" s="229">
        <f t="shared" si="50"/>
        <v>10000000</v>
      </c>
    </row>
    <row r="74" spans="2:16">
      <c r="B74" s="223">
        <v>60</v>
      </c>
      <c r="C74" s="229">
        <f t="shared" si="55"/>
        <v>64340.301100034303</v>
      </c>
      <c r="D74" s="230">
        <f t="shared" si="56"/>
        <v>14.693280767999983</v>
      </c>
      <c r="E74" s="230">
        <f t="shared" si="51"/>
        <v>4378.8927820775698</v>
      </c>
      <c r="F74" s="227">
        <f t="shared" si="57"/>
        <v>680583.19703375408</v>
      </c>
      <c r="G74" s="230"/>
      <c r="H74" s="242">
        <f t="shared" si="52"/>
        <v>20551.373279258602</v>
      </c>
      <c r="I74" s="242">
        <f t="shared" si="53"/>
        <v>0</v>
      </c>
      <c r="J74" s="227">
        <f t="shared" si="54"/>
        <v>2137.3428210428947</v>
      </c>
      <c r="K74" s="229">
        <f t="shared" si="47"/>
        <v>10000000.000000002</v>
      </c>
      <c r="M74" s="223">
        <v>60</v>
      </c>
      <c r="N74" s="229">
        <f t="shared" si="48"/>
        <v>64340.301100034303</v>
      </c>
      <c r="O74" s="242">
        <f t="shared" si="49"/>
        <v>20074.173943210702</v>
      </c>
      <c r="P74" s="229">
        <f t="shared" si="50"/>
        <v>10000000</v>
      </c>
    </row>
    <row r="75" spans="2:16">
      <c r="B75" s="234" t="s">
        <v>386</v>
      </c>
      <c r="C75" s="235">
        <f>SUM(C63:C74)</f>
        <v>772083.61320041155</v>
      </c>
      <c r="D75" s="236"/>
      <c r="E75" s="237"/>
      <c r="F75" s="238"/>
      <c r="G75" s="237"/>
      <c r="H75" s="237"/>
      <c r="I75" s="237"/>
      <c r="J75" s="255">
        <f>SUM(J63:J74)</f>
        <v>23672.173779634704</v>
      </c>
      <c r="K75" s="256"/>
      <c r="M75" s="234" t="s">
        <v>386</v>
      </c>
      <c r="N75" s="235">
        <f t="shared" ref="N75" si="58">SUM(N63:N74)</f>
        <v>772083.61320041155</v>
      </c>
      <c r="O75" s="258">
        <f t="shared" ref="O75" si="59">SUM(O63:O74)</f>
        <v>240890.08731852847</v>
      </c>
      <c r="P75" s="259"/>
    </row>
    <row r="76" spans="2:16">
      <c r="B76" s="239" t="s">
        <v>387</v>
      </c>
      <c r="C76" s="240">
        <f>C75-J75</f>
        <v>748411.43942077679</v>
      </c>
      <c r="D76" s="241"/>
      <c r="E76" s="241"/>
      <c r="F76" s="241"/>
      <c r="G76" s="241"/>
      <c r="H76" s="241"/>
      <c r="I76" s="241"/>
      <c r="J76" s="260">
        <f>IFERROR(J75/C75,0)</f>
        <v>3.0660116825313406E-2</v>
      </c>
      <c r="K76" s="261"/>
      <c r="M76" s="239" t="s">
        <v>387</v>
      </c>
      <c r="N76" s="240">
        <f>N75-O75</f>
        <v>531193.52588188311</v>
      </c>
      <c r="O76" s="263">
        <f>IFERROR(O75/N75,0)</f>
        <v>0.31200000000000011</v>
      </c>
      <c r="P76" s="264"/>
    </row>
  </sheetData>
  <sheetProtection algorithmName="SHA-512" hashValue="EibpawNlknM8Vl5X1uiwFz8A09hBTCozVMd2AwYxKPYR+MnCBqQny48N7Dlc8I+QwulCv9dOw05x8ymBKjGxFw==" saltValue="Iu1JEnsriffVjy1/aaC4PA==" spinCount="100000" sheet="1" objects="1" formatColumns="0"/>
  <mergeCells count="8">
    <mergeCell ref="G4:I4"/>
    <mergeCell ref="B3:B4"/>
    <mergeCell ref="C3:C4"/>
    <mergeCell ref="G1:I1"/>
    <mergeCell ref="D2:E2"/>
    <mergeCell ref="G2:I2"/>
    <mergeCell ref="D3:E3"/>
    <mergeCell ref="G3:I3"/>
  </mergeCells>
  <pageMargins left="0.7" right="0.7" top="0.75" bottom="0.75" header="0.3" footer="0.3"/>
  <pageSetup scale="92" orientation="landscape" cellComments="asDisplayed"/>
  <colBreaks count="1" manualBreakCount="1">
    <brk id="11" max="1048575" man="1"/>
  </colBreaks>
  <drawing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XFC23"/>
  <sheetViews>
    <sheetView showGridLines="0" workbookViewId="0"/>
  </sheetViews>
  <sheetFormatPr defaultColWidth="0" defaultRowHeight="16.05" customHeight="1" zeroHeight="1"/>
  <cols>
    <col min="1" max="1" width="4.21875" style="670" customWidth="1"/>
    <col min="2" max="7" width="14.6640625" style="670" customWidth="1"/>
    <col min="8" max="8" width="1.33203125" style="670" customWidth="1"/>
    <col min="9" max="10" width="9.21875" style="670" customWidth="1"/>
    <col min="11" max="11" width="10.6640625" style="670" customWidth="1"/>
    <col min="12" max="12" width="10.77734375" style="670" customWidth="1"/>
    <col min="13" max="13" width="9.21875" style="670" customWidth="1"/>
    <col min="14" max="14" width="6.5546875" style="670" customWidth="1"/>
    <col min="15" max="17" width="9.21875" style="670" customWidth="1"/>
    <col min="18" max="18" width="0.6640625" style="670" customWidth="1"/>
    <col min="19" max="16383" width="9.21875" style="670" hidden="1" customWidth="1"/>
    <col min="16384" max="16384" width="1.44140625" style="670" hidden="1" customWidth="1"/>
  </cols>
  <sheetData>
    <row r="1" spans="1:19" ht="27" customHeight="1">
      <c r="A1" s="736"/>
      <c r="B1" s="716" t="s">
        <v>1</v>
      </c>
      <c r="C1" s="737"/>
      <c r="D1" s="737"/>
      <c r="E1" s="737"/>
      <c r="F1" s="737"/>
      <c r="G1" s="737"/>
      <c r="H1" s="711"/>
      <c r="S1" s="763">
        <v>0</v>
      </c>
    </row>
    <row r="2" spans="1:19" s="669" customFormat="1" ht="19.95" customHeight="1">
      <c r="A2" s="718"/>
      <c r="B2" s="674" t="s">
        <v>2</v>
      </c>
      <c r="C2" s="721"/>
      <c r="D2" s="721"/>
      <c r="E2" s="721"/>
      <c r="F2" s="722"/>
      <c r="G2" s="738">
        <v>20000</v>
      </c>
      <c r="H2" s="712"/>
      <c r="S2" s="764">
        <v>5.1999999999999998E-2</v>
      </c>
    </row>
    <row r="3" spans="1:19" s="669" customFormat="1" ht="19.95" customHeight="1">
      <c r="A3" s="718"/>
      <c r="B3" s="674" t="s">
        <v>3</v>
      </c>
      <c r="C3" s="721"/>
      <c r="D3" s="721"/>
      <c r="E3" s="721"/>
      <c r="F3" s="722"/>
      <c r="G3" s="738">
        <v>15</v>
      </c>
      <c r="H3" s="712"/>
      <c r="S3" s="764">
        <v>0.104</v>
      </c>
    </row>
    <row r="4" spans="1:19" s="669" customFormat="1" ht="19.95" customHeight="1">
      <c r="A4" s="718"/>
      <c r="B4" s="674" t="s">
        <v>4</v>
      </c>
      <c r="C4" s="721"/>
      <c r="D4" s="721"/>
      <c r="E4" s="721"/>
      <c r="F4" s="722"/>
      <c r="G4" s="739">
        <v>0.12</v>
      </c>
      <c r="H4" s="712"/>
      <c r="K4" s="709" t="s">
        <v>5</v>
      </c>
      <c r="L4" s="709" t="s">
        <v>6</v>
      </c>
      <c r="S4" s="764">
        <v>0.156</v>
      </c>
    </row>
    <row r="5" spans="1:19" ht="19.95" customHeight="1">
      <c r="A5" s="740"/>
      <c r="B5" s="741" t="s">
        <v>7</v>
      </c>
      <c r="C5" s="700"/>
      <c r="D5" s="700"/>
      <c r="E5" s="700"/>
      <c r="F5" s="703"/>
      <c r="G5" s="742">
        <f>G4*(1-10.4%)</f>
        <v>0.10752</v>
      </c>
      <c r="H5" s="743"/>
      <c r="K5" s="762">
        <f>G10/100000</f>
        <v>49.594379613730794</v>
      </c>
      <c r="L5" s="762">
        <f>G6/100000</f>
        <v>95.18627984739382</v>
      </c>
      <c r="S5" s="765">
        <v>0.20799999999999999</v>
      </c>
    </row>
    <row r="6" spans="1:19" ht="19.95" customHeight="1">
      <c r="A6" s="740"/>
      <c r="B6" s="706" t="s">
        <v>8</v>
      </c>
      <c r="C6" s="721"/>
      <c r="D6" s="721"/>
      <c r="E6" s="721"/>
      <c r="F6" s="722"/>
      <c r="G6" s="683">
        <f>FV((1+G4)^(1/12)-1,G3*12,-G2,,1)</f>
        <v>9518627.9847393818</v>
      </c>
      <c r="H6" s="743"/>
      <c r="K6" s="710"/>
      <c r="L6" s="710"/>
      <c r="S6" s="765">
        <v>0.26</v>
      </c>
    </row>
    <row r="7" spans="1:19" ht="19.95" customHeight="1">
      <c r="A7" s="740"/>
      <c r="B7" s="674" t="s">
        <v>9</v>
      </c>
      <c r="C7" s="721"/>
      <c r="D7" s="721"/>
      <c r="E7" s="721"/>
      <c r="F7" s="722"/>
      <c r="G7" s="744">
        <v>0.06</v>
      </c>
      <c r="H7" s="743"/>
      <c r="O7"/>
      <c r="P7"/>
      <c r="Q7"/>
      <c r="S7" s="765">
        <v>0.312</v>
      </c>
    </row>
    <row r="8" spans="1:19" ht="19.95" customHeight="1">
      <c r="A8" s="740"/>
      <c r="B8" s="674" t="s">
        <v>10</v>
      </c>
      <c r="C8" s="699"/>
      <c r="D8" s="699"/>
      <c r="E8" s="699"/>
      <c r="F8" s="701"/>
      <c r="G8" s="744">
        <v>0.312</v>
      </c>
      <c r="H8" s="743"/>
      <c r="K8" s="670" t="str">
        <f>TEXT(K5,"0.00")&amp;" lakhs"</f>
        <v>49.59 lakhs</v>
      </c>
      <c r="L8" s="670" t="str">
        <f>TEXT(L5,"0.00")&amp;" lakhs"</f>
        <v>95.19 lakhs</v>
      </c>
      <c r="O8"/>
      <c r="P8"/>
      <c r="Q8"/>
    </row>
    <row r="9" spans="1:19" ht="19.95" customHeight="1">
      <c r="A9" s="740"/>
      <c r="B9" s="674" t="s">
        <v>11</v>
      </c>
      <c r="C9" s="699"/>
      <c r="D9" s="699"/>
      <c r="E9" s="699"/>
      <c r="F9" s="701"/>
      <c r="G9" s="742">
        <f>G7*(1-G8)</f>
        <v>4.1279999999999997E-2</v>
      </c>
      <c r="H9" s="743"/>
      <c r="O9" s="774" t="str">
        <f>"You could've earned Rs. "&amp;TEXT(L5-K5,"0.00")&amp;" lakhs more wealth in the same time, if you had done SIP instead of FD/RD"</f>
        <v>You could've earned Rs. 45.59 lakhs more wealth in the same time, if you had done SIP instead of FD/RD</v>
      </c>
      <c r="P9" s="775"/>
      <c r="Q9" s="776"/>
    </row>
    <row r="10" spans="1:19" ht="19.95" customHeight="1">
      <c r="A10" s="740"/>
      <c r="B10" s="706" t="s">
        <v>12</v>
      </c>
      <c r="C10" s="699"/>
      <c r="D10" s="699"/>
      <c r="E10" s="699"/>
      <c r="F10" s="701"/>
      <c r="G10" s="683">
        <f>FV((1+G9)^(1/12)-1,G3*12,-SIP_GRAPH,,1)</f>
        <v>4959437.9613730796</v>
      </c>
      <c r="H10" s="743"/>
      <c r="O10" s="777"/>
      <c r="P10" s="778"/>
      <c r="Q10" s="779"/>
    </row>
    <row r="11" spans="1:19" ht="16.05" customHeight="1">
      <c r="A11" s="745"/>
      <c r="B11" s="746"/>
      <c r="C11" s="746"/>
      <c r="D11" s="746"/>
      <c r="E11" s="746"/>
      <c r="F11" s="746"/>
      <c r="G11" s="746"/>
      <c r="H11" s="747"/>
      <c r="O11" s="777"/>
      <c r="P11" s="778"/>
      <c r="Q11" s="779"/>
    </row>
    <row r="12" spans="1:19" ht="16.05" customHeight="1">
      <c r="B12" s="746"/>
      <c r="C12" s="746"/>
      <c r="D12" s="746"/>
      <c r="E12" s="746"/>
      <c r="F12" s="746"/>
      <c r="G12" s="746"/>
      <c r="O12" s="777"/>
      <c r="P12" s="778"/>
      <c r="Q12" s="779"/>
    </row>
    <row r="13" spans="1:19" ht="16.05" customHeight="1">
      <c r="B13" s="748" t="s">
        <v>13</v>
      </c>
      <c r="C13" s="749">
        <v>5</v>
      </c>
      <c r="D13" s="749">
        <v>10</v>
      </c>
      <c r="E13" s="749">
        <v>15</v>
      </c>
      <c r="F13" s="749">
        <v>20</v>
      </c>
      <c r="G13" s="749">
        <v>30</v>
      </c>
      <c r="O13" s="777"/>
      <c r="P13" s="778"/>
      <c r="Q13" s="779"/>
    </row>
    <row r="14" spans="1:19" ht="16.05" customHeight="1">
      <c r="B14" s="750">
        <f>G9</f>
        <v>4.1279999999999997E-2</v>
      </c>
      <c r="C14" s="751">
        <f t="shared" ref="C14:C16" si="0">FV((1+B14)^(1/12)-1,$C$13*12,-$G$2,,1)</f>
        <v>1332207.3156237833</v>
      </c>
      <c r="D14" s="751">
        <f t="shared" ref="D14:D16" si="1">FV((1+B14)^(1/12)-1,$D$13*12,-$G$2,,1)</f>
        <v>2963040.1577335526</v>
      </c>
      <c r="E14" s="751">
        <f t="shared" ref="E14:E16" si="2">FV((1+B14)^(1/12)-1,$E$13*12,-$G$2,,1)</f>
        <v>4959437.9613730796</v>
      </c>
      <c r="F14" s="751">
        <f t="shared" ref="F14:F16" si="3">FV((1+B14)^(1/12)-1,$F$13*12,-$G$2,,1)</f>
        <v>7403345.2015661579</v>
      </c>
      <c r="G14" s="751">
        <f t="shared" ref="G14:G16" si="4">FV((1+B14)^(1/12)-1,$G$13*12,-$G$2,,1)</f>
        <v>14057426.089003872</v>
      </c>
      <c r="O14" s="777"/>
      <c r="P14" s="778"/>
      <c r="Q14" s="779"/>
    </row>
    <row r="15" spans="1:19" ht="16.05" customHeight="1">
      <c r="B15" s="752">
        <f>G7</f>
        <v>0.06</v>
      </c>
      <c r="C15" s="753">
        <f t="shared" si="0"/>
        <v>1396480.2343147804</v>
      </c>
      <c r="D15" s="754">
        <f t="shared" si="1"/>
        <v>3265285.8024876663</v>
      </c>
      <c r="E15" s="754">
        <f t="shared" si="2"/>
        <v>5766169.2133779293</v>
      </c>
      <c r="F15" s="754">
        <f t="shared" si="3"/>
        <v>9112915.3604268245</v>
      </c>
      <c r="G15" s="754">
        <f t="shared" si="4"/>
        <v>19585129.284498148</v>
      </c>
      <c r="O15" s="777"/>
      <c r="P15" s="778"/>
      <c r="Q15" s="779"/>
    </row>
    <row r="16" spans="1:19" ht="16.05" customHeight="1">
      <c r="B16" s="755">
        <f>G5</f>
        <v>0.10752</v>
      </c>
      <c r="C16" s="756">
        <f t="shared" si="0"/>
        <v>1572587.081480745</v>
      </c>
      <c r="D16" s="757">
        <f t="shared" si="1"/>
        <v>4193017.2561841342</v>
      </c>
      <c r="E16" s="757">
        <f t="shared" si="2"/>
        <v>8559487.2478048205</v>
      </c>
      <c r="F16" s="757">
        <f t="shared" si="3"/>
        <v>15835414.830909405</v>
      </c>
      <c r="G16" s="757">
        <f t="shared" si="4"/>
        <v>48161878.808146261</v>
      </c>
      <c r="O16" s="777"/>
      <c r="P16" s="778"/>
      <c r="Q16" s="779"/>
    </row>
    <row r="17" spans="2:17" ht="16.05" customHeight="1">
      <c r="B17" s="758">
        <v>0.08</v>
      </c>
      <c r="C17" s="759">
        <f t="shared" ref="C17:C22" si="5">FV((1+B17)^(1/12)-1,$C$13*12,-$G$2,,1)</f>
        <v>1468279.5687984372</v>
      </c>
      <c r="D17" s="760">
        <f t="shared" ref="D17:D22" si="6">FV((1+B17)^(1/12)-1,$D$13*12,-$G$2,,1)</f>
        <v>3625663.9638257786</v>
      </c>
      <c r="E17" s="760">
        <f t="shared" ref="E17:E22" si="7">FV((1+B17)^(1/12)-1,$E$13*12,-$G$2,,1)</f>
        <v>6795569.4278896283</v>
      </c>
      <c r="F17" s="760">
        <f t="shared" ref="F17:F22" si="8">FV((1+B17)^(1/12)-1,$F$13*12,-$G$2,,1)</f>
        <v>11453200.527040374</v>
      </c>
      <c r="G17" s="761">
        <f t="shared" ref="G17:G22" si="9">FV((1+B17)^(1/12)-1,$G$13*12,-$G$2,,1)</f>
        <v>28352264.880431067</v>
      </c>
      <c r="O17" s="777"/>
      <c r="P17" s="778"/>
      <c r="Q17" s="779"/>
    </row>
    <row r="18" spans="2:17" ht="16.05" customHeight="1">
      <c r="B18" s="758">
        <v>0.1</v>
      </c>
      <c r="C18" s="759">
        <f t="shared" si="5"/>
        <v>1543434.8014306314</v>
      </c>
      <c r="D18" s="761">
        <f t="shared" si="6"/>
        <v>4029151.9834826835</v>
      </c>
      <c r="E18" s="761">
        <f t="shared" si="7"/>
        <v>8032424.362349337</v>
      </c>
      <c r="F18" s="761">
        <f t="shared" si="8"/>
        <v>14479734.561237885</v>
      </c>
      <c r="G18" s="761">
        <f t="shared" si="9"/>
        <v>41585854.325942934</v>
      </c>
      <c r="O18" s="777"/>
      <c r="P18" s="778"/>
      <c r="Q18" s="779"/>
    </row>
    <row r="19" spans="2:17" ht="16.05" customHeight="1">
      <c r="B19" s="758">
        <v>0.12</v>
      </c>
      <c r="C19" s="759">
        <f t="shared" si="5"/>
        <v>1622072.2506705523</v>
      </c>
      <c r="D19" s="761">
        <f t="shared" si="6"/>
        <v>4480717.7911893232</v>
      </c>
      <c r="E19" s="761">
        <f t="shared" si="7"/>
        <v>9518627.9847393818</v>
      </c>
      <c r="F19" s="761">
        <f t="shared" si="8"/>
        <v>18397147.115050893</v>
      </c>
      <c r="G19" s="761">
        <f t="shared" si="9"/>
        <v>61619464.197115704</v>
      </c>
      <c r="O19" s="777"/>
      <c r="P19" s="778"/>
      <c r="Q19" s="779"/>
    </row>
    <row r="20" spans="2:17" ht="16.05" customHeight="1">
      <c r="B20" s="758">
        <v>0.15</v>
      </c>
      <c r="C20" s="759">
        <f t="shared" si="5"/>
        <v>1746841.5011869806</v>
      </c>
      <c r="D20" s="761">
        <f t="shared" si="6"/>
        <v>5260363.7100227261</v>
      </c>
      <c r="E20" s="761">
        <f t="shared" si="7"/>
        <v>12327311.858205423</v>
      </c>
      <c r="F20" s="761">
        <f t="shared" si="8"/>
        <v>26541468.809742592</v>
      </c>
      <c r="G20" s="761">
        <f t="shared" si="9"/>
        <v>112635408.17032841</v>
      </c>
      <c r="O20" s="780"/>
      <c r="P20" s="781"/>
      <c r="Q20" s="782"/>
    </row>
    <row r="21" spans="2:17" ht="16.05" customHeight="1">
      <c r="B21" s="758">
        <v>0.18</v>
      </c>
      <c r="C21" s="759">
        <f t="shared" si="5"/>
        <v>1880187.5488548717</v>
      </c>
      <c r="D21" s="761">
        <f t="shared" si="6"/>
        <v>6181601.1979863457</v>
      </c>
      <c r="E21" s="761">
        <f t="shared" si="7"/>
        <v>16022193.638992194</v>
      </c>
      <c r="F21" s="761">
        <f t="shared" si="8"/>
        <v>38535085.327410579</v>
      </c>
      <c r="G21" s="761">
        <f t="shared" si="9"/>
        <v>207867900.85324609</v>
      </c>
      <c r="J21" s="773"/>
      <c r="K21" s="773"/>
      <c r="L21" s="773"/>
      <c r="M21" s="773"/>
      <c r="N21" s="773"/>
    </row>
    <row r="22" spans="2:17" ht="16.05" customHeight="1">
      <c r="B22" s="758">
        <v>0.2</v>
      </c>
      <c r="C22" s="759">
        <f t="shared" si="5"/>
        <v>1974079.2356740062</v>
      </c>
      <c r="D22" s="761">
        <f t="shared" si="6"/>
        <v>6886220.0793863405</v>
      </c>
      <c r="E22" s="761">
        <f t="shared" si="7"/>
        <v>19109198.383612592</v>
      </c>
      <c r="F22" s="761">
        <f t="shared" si="8"/>
        <v>49523879.757584803</v>
      </c>
      <c r="G22" s="761">
        <f t="shared" si="9"/>
        <v>313525030.15298104</v>
      </c>
    </row>
    <row r="23" spans="2:17" ht="16.05" customHeight="1"/>
  </sheetData>
  <sheetProtection algorithmName="SHA-512" hashValue="ODGfNecb0OQoVR7Orr/COctksM/Ew0AoHNoyvyOk26XpnOw45WFeCpacZDzRfcnIfhFUGj0mYY0bLoMOx0mtpA==" saltValue="svCmVtVMCjsi0ffNz/PhUg==" spinCount="100000" sheet="1" objects="1"/>
  <mergeCells count="3">
    <mergeCell ref="J21:K21"/>
    <mergeCell ref="L21:N21"/>
    <mergeCell ref="O9:Q20"/>
  </mergeCells>
  <conditionalFormatting sqref="C17:G22">
    <cfRule type="cellIs" dxfId="63" priority="30" operator="equal">
      <formula>$G$6</formula>
    </cfRule>
  </conditionalFormatting>
  <dataValidations count="1">
    <dataValidation type="list" allowBlank="1" showInputMessage="1" showErrorMessage="1" sqref="G8" xr:uid="{00000000-0002-0000-0100-000000000000}">
      <formula1>TaxSlab</formula1>
    </dataValidation>
  </dataValidations>
  <pageMargins left="0.7" right="0.7" top="0.75" bottom="0.75" header="0.3" footer="0.3"/>
  <pageSetup orientation="landscape"/>
  <colBreaks count="1" manualBreakCount="1">
    <brk id="8" max="1048575" man="1"/>
  </colBreaks>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C1:E11"/>
  <sheetViews>
    <sheetView showGridLines="0" workbookViewId="0">
      <selection activeCell="D4" sqref="D4"/>
    </sheetView>
  </sheetViews>
  <sheetFormatPr defaultColWidth="8.6640625" defaultRowHeight="14.4"/>
  <cols>
    <col min="1" max="2" width="8.6640625" style="158"/>
    <col min="3" max="3" width="40.21875" style="158" customWidth="1"/>
    <col min="4" max="4" width="15.5546875" style="158" customWidth="1"/>
    <col min="5" max="16384" width="8.6640625" style="158"/>
  </cols>
  <sheetData>
    <row r="1" spans="3:5">
      <c r="C1" s="925" t="s">
        <v>397</v>
      </c>
      <c r="D1" s="925"/>
    </row>
    <row r="2" spans="3:5">
      <c r="C2" s="925"/>
      <c r="D2" s="925"/>
    </row>
    <row r="4" spans="3:5" s="157" customFormat="1" ht="30" customHeight="1">
      <c r="C4" s="201" t="s">
        <v>398</v>
      </c>
      <c r="D4" s="202">
        <v>10000</v>
      </c>
      <c r="E4" s="197"/>
    </row>
    <row r="5" spans="3:5" s="157" customFormat="1" ht="30" customHeight="1">
      <c r="C5" s="201" t="s">
        <v>399</v>
      </c>
      <c r="D5" s="202">
        <v>10</v>
      </c>
      <c r="E5" s="197"/>
    </row>
    <row r="6" spans="3:5" s="157" customFormat="1" ht="30" customHeight="1">
      <c r="C6" s="201" t="s">
        <v>400</v>
      </c>
      <c r="D6" s="203">
        <v>0.12</v>
      </c>
      <c r="E6" s="197"/>
    </row>
    <row r="7" spans="3:5" s="157" customFormat="1" ht="12.6" customHeight="1">
      <c r="C7" s="204"/>
      <c r="D7" s="204"/>
      <c r="E7" s="197"/>
    </row>
    <row r="8" spans="3:5" ht="30" customHeight="1">
      <c r="C8" s="201" t="s">
        <v>401</v>
      </c>
      <c r="D8" s="205" t="s">
        <v>103</v>
      </c>
    </row>
    <row r="9" spans="3:5" ht="30" customHeight="1">
      <c r="C9" s="204" t="str">
        <f>IF(D8="Percentage","SIP Top-Up %","")</f>
        <v/>
      </c>
      <c r="D9" s="206">
        <v>0.1</v>
      </c>
    </row>
    <row r="10" spans="3:5" ht="30" customHeight="1">
      <c r="C10" s="204" t="str">
        <f>IF(D8="Amount","SIP Top-Up Amount","")</f>
        <v>SIP Top-Up Amount</v>
      </c>
      <c r="D10" s="207">
        <v>1000</v>
      </c>
    </row>
    <row r="11" spans="3:5" ht="30" customHeight="1">
      <c r="C11" s="201" t="s">
        <v>402</v>
      </c>
      <c r="D11" s="202">
        <v>30000</v>
      </c>
    </row>
  </sheetData>
  <sheetProtection algorithmName="SHA-512" hashValue="MGMZM51MOIzohy8cqqQjka1NZkxMZTVctcp+DQIERok6U5sdg+nORUnET29mRr1wrAEGTgx63+5FmFfljVJaMQ==" saltValue="Uk6TRqXV09crKwCmhXMJAA==" spinCount="100000" sheet="1" objects="1"/>
  <mergeCells count="1">
    <mergeCell ref="C1:D2"/>
  </mergeCells>
  <conditionalFormatting sqref="C9">
    <cfRule type="expression" dxfId="50" priority="4">
      <formula>D8="Percentage"</formula>
    </cfRule>
  </conditionalFormatting>
  <conditionalFormatting sqref="D9">
    <cfRule type="expression" dxfId="49" priority="3">
      <formula>D8="Percentage"</formula>
    </cfRule>
  </conditionalFormatting>
  <conditionalFormatting sqref="C10">
    <cfRule type="expression" dxfId="48" priority="2">
      <formula>D8="Amount"</formula>
    </cfRule>
  </conditionalFormatting>
  <conditionalFormatting sqref="D10">
    <cfRule type="expression" dxfId="47" priority="1">
      <formula>D8="Amount"</formula>
    </cfRule>
  </conditionalFormatting>
  <dataValidations count="2">
    <dataValidation type="whole" allowBlank="1" showInputMessage="1" showErrorMessage="1" errorTitle="Ooops!" error="Enter value between 1 to 30" promptTitle="Rule" prompt="Enter any value between 1 to 30" sqref="D5" xr:uid="{00000000-0002-0000-1300-000000000000}">
      <formula1>1</formula1>
      <formula2>30</formula2>
    </dataValidation>
    <dataValidation type="list" showInputMessage="1" showErrorMessage="1" sqref="D8" xr:uid="{00000000-0002-0000-1300-000001000000}">
      <formula1>"Percentage, Amount"</formula1>
    </dataValidation>
  </dataValidations>
  <pageMargins left="0.7" right="0.7" top="0.75" bottom="0.75" header="0.3" footer="0.3"/>
  <pageSetup paperSize="9" orientation="portrait"/>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D6:F10"/>
  <sheetViews>
    <sheetView showGridLines="0" workbookViewId="0">
      <selection activeCell="E10" sqref="E10"/>
    </sheetView>
  </sheetViews>
  <sheetFormatPr defaultColWidth="8.6640625" defaultRowHeight="14.4"/>
  <cols>
    <col min="1" max="3" width="8.6640625" style="158"/>
    <col min="4" max="4" width="40.21875" style="158" customWidth="1"/>
    <col min="5" max="5" width="15.5546875" style="158" customWidth="1"/>
    <col min="6" max="16384" width="8.6640625" style="158"/>
  </cols>
  <sheetData>
    <row r="6" spans="4:6" s="157" customFormat="1" ht="30" customHeight="1">
      <c r="D6" s="195" t="s">
        <v>398</v>
      </c>
      <c r="E6" s="196">
        <f>HomePage!HOME</f>
        <v>10000</v>
      </c>
      <c r="F6" s="197"/>
    </row>
    <row r="7" spans="4:6" s="157" customFormat="1" ht="30" customHeight="1">
      <c r="D7" s="195" t="s">
        <v>399</v>
      </c>
      <c r="E7" s="196">
        <f>HomePage!D5</f>
        <v>10</v>
      </c>
      <c r="F7" s="197"/>
    </row>
    <row r="8" spans="4:6" s="157" customFormat="1" ht="30" customHeight="1">
      <c r="D8" s="195" t="s">
        <v>403</v>
      </c>
      <c r="E8" s="198">
        <f>HomePage!D6</f>
        <v>0.12</v>
      </c>
      <c r="F8" s="197"/>
    </row>
    <row r="9" spans="4:6" s="157" customFormat="1" ht="30" customHeight="1">
      <c r="D9" s="195" t="s">
        <v>404</v>
      </c>
      <c r="E9" s="200">
        <v>2000</v>
      </c>
      <c r="F9" s="197"/>
    </row>
    <row r="10" spans="4:6" ht="30" customHeight="1">
      <c r="D10" s="195" t="s">
        <v>402</v>
      </c>
      <c r="E10" s="200">
        <v>25000</v>
      </c>
    </row>
  </sheetData>
  <sheetProtection algorithmName="SHA-512" hashValue="9ck8XT5wKMgZqn4c2OvGNF6dqvarfKFsjQGQP/1sQuOps9LRlr6UL37jKo0s1wgii5wz21sFn8kHH9HgmsUGVw==" saltValue="+k6BkspckEATrpkr/GTyrw==" spinCount="100000" sheet="1" objects="1" scenarios="1"/>
  <dataValidations count="1">
    <dataValidation type="whole" allowBlank="1" showInputMessage="1" showErrorMessage="1" errorTitle="Ooops!" error="Enter value between 1 to 30" promptTitle="Rule" prompt="Enter any value between 1 to 30" sqref="E7" xr:uid="{00000000-0002-0000-1400-000000000000}">
      <formula1>1</formula1>
      <formula2>30</formula2>
    </dataValidation>
  </dataValidations>
  <pageMargins left="0.7" right="0.7" top="0.75" bottom="0.75" header="0.3" footer="0.3"/>
  <pageSetup paperSize="9" orientation="portrait"/>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D6:F10"/>
  <sheetViews>
    <sheetView showGridLines="0" workbookViewId="0">
      <selection activeCell="E9" sqref="E9"/>
    </sheetView>
  </sheetViews>
  <sheetFormatPr defaultColWidth="8.6640625" defaultRowHeight="14.4"/>
  <cols>
    <col min="1" max="3" width="8.6640625" style="158"/>
    <col min="4" max="4" width="40.21875" style="158" customWidth="1"/>
    <col min="5" max="5" width="15.5546875" style="158" customWidth="1"/>
    <col min="6" max="16384" width="8.6640625" style="158"/>
  </cols>
  <sheetData>
    <row r="6" spans="4:6" s="157" customFormat="1" ht="30" customHeight="1">
      <c r="D6" s="195" t="s">
        <v>398</v>
      </c>
      <c r="E6" s="196">
        <f>HomePage!HOME</f>
        <v>10000</v>
      </c>
      <c r="F6" s="197"/>
    </row>
    <row r="7" spans="4:6" s="157" customFormat="1" ht="30" customHeight="1">
      <c r="D7" s="195" t="s">
        <v>399</v>
      </c>
      <c r="E7" s="196">
        <f>HomePage!D5</f>
        <v>10</v>
      </c>
      <c r="F7" s="197"/>
    </row>
    <row r="8" spans="4:6" s="157" customFormat="1" ht="30" customHeight="1">
      <c r="D8" s="195" t="s">
        <v>403</v>
      </c>
      <c r="E8" s="198">
        <f>HomePage!D6</f>
        <v>0.12</v>
      </c>
      <c r="F8" s="197"/>
    </row>
    <row r="9" spans="4:6" s="157" customFormat="1" ht="30" customHeight="1">
      <c r="D9" s="195" t="s">
        <v>405</v>
      </c>
      <c r="E9" s="199">
        <v>0.2</v>
      </c>
      <c r="F9" s="197"/>
    </row>
    <row r="10" spans="4:6" ht="30" customHeight="1">
      <c r="D10" s="195" t="s">
        <v>402</v>
      </c>
      <c r="E10" s="200">
        <v>25000</v>
      </c>
    </row>
  </sheetData>
  <sheetProtection algorithmName="SHA-512" hashValue="wApe50IZdlrvbpPPNTJuytuxEpVG1HSqeWXEP5Xc3fH3VyY0qBKYRFcZnL+B00U03wCRYMA+ZFHyvl6fXZpytw==" saltValue="zDbq0N3n2JGR0dBI1jPmtQ==" spinCount="100000" sheet="1" selectLockedCells="1"/>
  <dataValidations count="1">
    <dataValidation type="whole" allowBlank="1" showInputMessage="1" showErrorMessage="1" errorTitle="Ooops!" error="Enter value between 1 to 30" promptTitle="Rule" prompt="Enter any value between 1 to 30" sqref="E7" xr:uid="{00000000-0002-0000-1500-000000000000}">
      <formula1>1</formula1>
      <formula2>30</formula2>
    </dataValidation>
  </dataValidations>
  <pageMargins left="0.7" right="0.7" top="0.75" bottom="0.75" header="0.3" footer="0.3"/>
  <pageSetup paperSize="9" orientation="portrait"/>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4:EZ39"/>
  <sheetViews>
    <sheetView showGridLines="0" topLeftCell="A16" workbookViewId="0">
      <selection activeCell="C36" sqref="C36:E37"/>
    </sheetView>
  </sheetViews>
  <sheetFormatPr defaultColWidth="8.6640625" defaultRowHeight="14.4"/>
  <cols>
    <col min="1" max="1" width="10.44140625" style="158" customWidth="1"/>
    <col min="2" max="2" width="5.77734375" style="158" customWidth="1"/>
    <col min="3" max="3" width="14.5546875" style="158" customWidth="1"/>
    <col min="4" max="5" width="9.6640625" style="158" customWidth="1"/>
    <col min="6" max="11" width="10.5546875" style="158" customWidth="1"/>
    <col min="12" max="16" width="11.5546875" style="158" customWidth="1"/>
    <col min="17" max="31" width="14.33203125" style="158" customWidth="1"/>
    <col min="32" max="32" width="16.5546875" style="158" customWidth="1"/>
    <col min="33" max="155" width="8.6640625" style="158"/>
    <col min="156" max="156" width="8.6640625" style="158" hidden="1" customWidth="1"/>
    <col min="157" max="16384" width="8.6640625" style="158"/>
  </cols>
  <sheetData>
    <row r="4" spans="1:156">
      <c r="A4" s="185" t="str">
        <f>IF(B4="","",IF(ISBLANK(HomePage!$D$8),HOME,IF(HomePage!$D$8="Percentage",IF(NOT(HomePage!$D$11&gt;0),A5*(1+HomePage!$D$9),IF(A5*(1+HomePage!$D$9)&gt;HomePage!$D$11,HomePage!$D$11,A5*(1+HomePage!$D$9))),IF(NOT(HomePage!$D$11&gt;0),A5+HomePage!$D$10,IF((A5+HomePage!$D$10)&gt;HomePage!$D$11,HomePage!$D$11,(A5+HomePage!$D$10))))))</f>
        <v/>
      </c>
      <c r="B4" s="186" t="str">
        <f>IF(B5="","",IF((B5+1)&gt;HomePage!$D$5,"",(B5+1)))</f>
        <v/>
      </c>
      <c r="AF4" s="187" t="str">
        <f>IF(AF$34="","",FV((1+PERCENT!$E$8)^(1/12)-1,12,-$A4,,1))</f>
        <v/>
      </c>
      <c r="EZ4" s="158">
        <f>IF(B4="",0,12)</f>
        <v>0</v>
      </c>
    </row>
    <row r="5" spans="1:156">
      <c r="A5" s="185" t="str">
        <f>IF(B5="","",IF(ISBLANK(HomePage!$D$8),HOME,IF(HomePage!$D$8="Percentage",IF(NOT(HomePage!$D$11&gt;0),A6*(1+HomePage!$D$9),IF(A6*(1+HomePage!$D$9)&gt;HomePage!$D$11,HomePage!$D$11,A6*(1+HomePage!$D$9))),IF(NOT(HomePage!$D$11&gt;0),A6+HomePage!$D$10,IF((A6+HomePage!$D$10)&gt;HomePage!$D$11,HomePage!$D$11,(A6+HomePage!$D$10))))))</f>
        <v/>
      </c>
      <c r="B5" s="186" t="str">
        <f>IF(B6="","",IF((B6+1)&gt;HomePage!$D$5,"",(B6+1)))</f>
        <v/>
      </c>
      <c r="AE5" s="187" t="str">
        <f>IF(AE$34="","",FV((1+PERCENT!$E$8)^(1/12)-1,12,-$A5,,1))</f>
        <v/>
      </c>
      <c r="AF5" s="187" t="str">
        <f>IF(AF$34="","",FV(PERCENT!$E$8,1,,-RESULT!AE5,))</f>
        <v/>
      </c>
      <c r="EZ5" s="158">
        <f t="shared" ref="EZ5:EZ33" si="0">IF(B5="",0,12)</f>
        <v>0</v>
      </c>
    </row>
    <row r="6" spans="1:156">
      <c r="A6" s="185" t="str">
        <f>IF(B6="","",IF(ISBLANK(HomePage!$D$8),HOME,IF(HomePage!$D$8="Percentage",IF(NOT(HomePage!$D$11&gt;0),A7*(1+HomePage!$D$9),IF(A7*(1+HomePage!$D$9)&gt;HomePage!$D$11,HomePage!$D$11,A7*(1+HomePage!$D$9))),IF(NOT(HomePage!$D$11&gt;0),A7+HomePage!$D$10,IF((A7+HomePage!$D$10)&gt;HomePage!$D$11,HomePage!$D$11,(A7+HomePage!$D$10))))))</f>
        <v/>
      </c>
      <c r="B6" s="186" t="str">
        <f>IF(B7="","",IF((B7+1)&gt;HomePage!$D$5,"",(B7+1)))</f>
        <v/>
      </c>
      <c r="AD6" s="187" t="str">
        <f>IF(AD$34="","",FV((1+PERCENT!$E$8)^(1/12)-1,12,-$A6,,1))</f>
        <v/>
      </c>
      <c r="AE6" s="187" t="str">
        <f>IF(AE$34="","",FV(PERCENT!$E$8,1,,-RESULT!AD6,))</f>
        <v/>
      </c>
      <c r="AF6" s="187" t="str">
        <f>IF(AF$34="","",FV(PERCENT!$E$8,1,,-RESULT!AE6,))</f>
        <v/>
      </c>
      <c r="EZ6" s="158">
        <f t="shared" si="0"/>
        <v>0</v>
      </c>
    </row>
    <row r="7" spans="1:156">
      <c r="A7" s="185" t="str">
        <f>IF(B7="","",IF(ISBLANK(HomePage!$D$8),HOME,IF(HomePage!$D$8="Percentage",IF(NOT(HomePage!$D$11&gt;0),A8*(1+HomePage!$D$9),IF(A8*(1+HomePage!$D$9)&gt;HomePage!$D$11,HomePage!$D$11,A8*(1+HomePage!$D$9))),IF(NOT(HomePage!$D$11&gt;0),A8+HomePage!$D$10,IF((A8+HomePage!$D$10)&gt;HomePage!$D$11,HomePage!$D$11,(A8+HomePage!$D$10))))))</f>
        <v/>
      </c>
      <c r="B7" s="186" t="str">
        <f>IF(B8="","",IF((B8+1)&gt;HomePage!$D$5,"",(B8+1)))</f>
        <v/>
      </c>
      <c r="AC7" s="187" t="str">
        <f>IF(AC$34="","",FV((1+PERCENT!$E$8)^(1/12)-1,12,-$A7,,1))</f>
        <v/>
      </c>
      <c r="AD7" s="187" t="str">
        <f>IF(AD$34="","",FV(PERCENT!$E$8,1,,-RESULT!AC7,))</f>
        <v/>
      </c>
      <c r="AE7" s="187" t="str">
        <f>IF(AE$34="","",FV(PERCENT!$E$8,1,,-RESULT!AD7,))</f>
        <v/>
      </c>
      <c r="AF7" s="187" t="str">
        <f>IF(AF$34="","",FV(PERCENT!$E$8,1,,-RESULT!AE7,))</f>
        <v/>
      </c>
      <c r="EZ7" s="158">
        <f t="shared" si="0"/>
        <v>0</v>
      </c>
    </row>
    <row r="8" spans="1:156">
      <c r="A8" s="185" t="str">
        <f>IF(B8="","",IF(ISBLANK(HomePage!$D$8),HOME,IF(HomePage!$D$8="Percentage",IF(NOT(HomePage!$D$11&gt;0),A9*(1+HomePage!$D$9),IF(A9*(1+HomePage!$D$9)&gt;HomePage!$D$11,HomePage!$D$11,A9*(1+HomePage!$D$9))),IF(NOT(HomePage!$D$11&gt;0),A9+HomePage!$D$10,IF((A9+HomePage!$D$10)&gt;HomePage!$D$11,HomePage!$D$11,(A9+HomePage!$D$10))))))</f>
        <v/>
      </c>
      <c r="B8" s="186" t="str">
        <f>IF(B9="","",IF((B9+1)&gt;HomePage!$D$5,"",(B9+1)))</f>
        <v/>
      </c>
      <c r="AB8" s="187" t="str">
        <f>IF(AB$34="","",FV((1+PERCENT!$E$8)^(1/12)-1,12,-$A8,,1))</f>
        <v/>
      </c>
      <c r="AC8" s="187" t="str">
        <f>IF(AC$34="","",FV(PERCENT!$E$8,1,,-RESULT!AB8,))</f>
        <v/>
      </c>
      <c r="AD8" s="187" t="str">
        <f>IF(AD$34="","",FV(PERCENT!$E$8,1,,-RESULT!AC8,))</f>
        <v/>
      </c>
      <c r="AE8" s="187" t="str">
        <f>IF(AE$34="","",FV(PERCENT!$E$8,1,,-RESULT!AD8,))</f>
        <v/>
      </c>
      <c r="AF8" s="187" t="str">
        <f>IF(AF$34="","",FV(PERCENT!$E$8,1,,-RESULT!AE8,))</f>
        <v/>
      </c>
      <c r="EZ8" s="158">
        <f t="shared" si="0"/>
        <v>0</v>
      </c>
    </row>
    <row r="9" spans="1:156">
      <c r="A9" s="185" t="str">
        <f>IF(B9="","",IF(ISBLANK(HomePage!$D$8),HOME,IF(HomePage!$D$8="Percentage",IF(NOT(HomePage!$D$11&gt;0),A10*(1+HomePage!$D$9),IF(A10*(1+HomePage!$D$9)&gt;HomePage!$D$11,HomePage!$D$11,A10*(1+HomePage!$D$9))),IF(NOT(HomePage!$D$11&gt;0),A10+HomePage!$D$10,IF((A10+HomePage!$D$10)&gt;HomePage!$D$11,HomePage!$D$11,(A10+HomePage!$D$10))))))</f>
        <v/>
      </c>
      <c r="B9" s="186" t="str">
        <f>IF(B10="","",IF((B10+1)&gt;HomePage!$D$5,"",(B10+1)))</f>
        <v/>
      </c>
      <c r="AA9" s="187" t="str">
        <f>IF(AA$34="","",FV((1+PERCENT!$E$8)^(1/12)-1,12,-$A9,,1))</f>
        <v/>
      </c>
      <c r="AB9" s="187" t="str">
        <f>IF(AB$34="","",FV(PERCENT!$E$8,1,,-RESULT!AA9,))</f>
        <v/>
      </c>
      <c r="AC9" s="187" t="str">
        <f>IF(AC$34="","",FV(PERCENT!$E$8,1,,-RESULT!AB9,))</f>
        <v/>
      </c>
      <c r="AD9" s="187" t="str">
        <f>IF(AD$34="","",FV(PERCENT!$E$8,1,,-RESULT!AC9,))</f>
        <v/>
      </c>
      <c r="AE9" s="187" t="str">
        <f>IF(AE$34="","",FV(PERCENT!$E$8,1,,-RESULT!AD9,))</f>
        <v/>
      </c>
      <c r="AF9" s="187" t="str">
        <f>IF(AF$34="","",FV(PERCENT!$E$8,1,,-RESULT!AE9,))</f>
        <v/>
      </c>
      <c r="EZ9" s="158">
        <f t="shared" si="0"/>
        <v>0</v>
      </c>
    </row>
    <row r="10" spans="1:156">
      <c r="A10" s="185" t="str">
        <f>IF(B10="","",IF(ISBLANK(HomePage!$D$8),HOME,IF(HomePage!$D$8="Percentage",IF(NOT(HomePage!$D$11&gt;0),A11*(1+HomePage!$D$9),IF(A11*(1+HomePage!$D$9)&gt;HomePage!$D$11,HomePage!$D$11,A11*(1+HomePage!$D$9))),IF(NOT(HomePage!$D$11&gt;0),A11+HomePage!$D$10,IF((A11+HomePage!$D$10)&gt;HomePage!$D$11,HomePage!$D$11,(A11+HomePage!$D$10))))))</f>
        <v/>
      </c>
      <c r="B10" s="186" t="str">
        <f>IF(B11="","",IF((B11+1)&gt;HomePage!$D$5,"",(B11+1)))</f>
        <v/>
      </c>
      <c r="Z10" s="187" t="str">
        <f>IF(Z$34="","",FV((1+PERCENT!$E$8)^(1/12)-1,12,-$A10,,1))</f>
        <v/>
      </c>
      <c r="AA10" s="187" t="str">
        <f>IF(AA$34="","",FV(PERCENT!$E$8,1,,-RESULT!Z10,))</f>
        <v/>
      </c>
      <c r="AB10" s="187" t="str">
        <f>IF(AB$34="","",FV(PERCENT!$E$8,1,,-RESULT!AA10,))</f>
        <v/>
      </c>
      <c r="AC10" s="187" t="str">
        <f>IF(AC$34="","",FV(PERCENT!$E$8,1,,-RESULT!AB10,))</f>
        <v/>
      </c>
      <c r="AD10" s="187" t="str">
        <f>IF(AD$34="","",FV(PERCENT!$E$8,1,,-RESULT!AC10,))</f>
        <v/>
      </c>
      <c r="AE10" s="187" t="str">
        <f>IF(AE$34="","",FV(PERCENT!$E$8,1,,-RESULT!AD10,))</f>
        <v/>
      </c>
      <c r="AF10" s="187" t="str">
        <f>IF(AF$34="","",FV(PERCENT!$E$8,1,,-RESULT!AE10,))</f>
        <v/>
      </c>
      <c r="EZ10" s="158">
        <f t="shared" si="0"/>
        <v>0</v>
      </c>
    </row>
    <row r="11" spans="1:156">
      <c r="A11" s="185" t="str">
        <f>IF(B11="","",IF(ISBLANK(HomePage!$D$8),HOME,IF(HomePage!$D$8="Percentage",IF(NOT(HomePage!$D$11&gt;0),A12*(1+HomePage!$D$9),IF(A12*(1+HomePage!$D$9)&gt;HomePage!$D$11,HomePage!$D$11,A12*(1+HomePage!$D$9))),IF(NOT(HomePage!$D$11&gt;0),A12+HomePage!$D$10,IF((A12+HomePage!$D$10)&gt;HomePage!$D$11,HomePage!$D$11,(A12+HomePage!$D$10))))))</f>
        <v/>
      </c>
      <c r="B11" s="186" t="str">
        <f>IF(B12="","",IF((B12+1)&gt;HomePage!$D$5,"",(B12+1)))</f>
        <v/>
      </c>
      <c r="Y11" s="187" t="str">
        <f>IF(Y$34="","",FV((1+PERCENT!$E$8)^(1/12)-1,12,-$A11,,1))</f>
        <v/>
      </c>
      <c r="Z11" s="187" t="str">
        <f>IF(Z$34="","",FV(PERCENT!$E$8,1,,-RESULT!Y11,))</f>
        <v/>
      </c>
      <c r="AA11" s="187" t="str">
        <f>IF(AA$34="","",FV(PERCENT!$E$8,1,,-RESULT!Z11,))</f>
        <v/>
      </c>
      <c r="AB11" s="187" t="str">
        <f>IF(AB$34="","",FV(PERCENT!$E$8,1,,-RESULT!AA11,))</f>
        <v/>
      </c>
      <c r="AC11" s="187" t="str">
        <f>IF(AC$34="","",FV(PERCENT!$E$8,1,,-RESULT!AB11,))</f>
        <v/>
      </c>
      <c r="AD11" s="187" t="str">
        <f>IF(AD$34="","",FV(PERCENT!$E$8,1,,-RESULT!AC11,))</f>
        <v/>
      </c>
      <c r="AE11" s="187" t="str">
        <f>IF(AE$34="","",FV(PERCENT!$E$8,1,,-RESULT!AD11,))</f>
        <v/>
      </c>
      <c r="AF11" s="187" t="str">
        <f>IF(AF$34="","",FV(PERCENT!$E$8,1,,-RESULT!AE11,))</f>
        <v/>
      </c>
      <c r="EZ11" s="158">
        <f t="shared" si="0"/>
        <v>0</v>
      </c>
    </row>
    <row r="12" spans="1:156">
      <c r="A12" s="185" t="str">
        <f>IF(B12="","",IF(ISBLANK(HomePage!$D$8),HOME,IF(HomePage!$D$8="Percentage",IF(NOT(HomePage!$D$11&gt;0),A13*(1+HomePage!$D$9),IF(A13*(1+HomePage!$D$9)&gt;HomePage!$D$11,HomePage!$D$11,A13*(1+HomePage!$D$9))),IF(NOT(HomePage!$D$11&gt;0),A13+HomePage!$D$10,IF((A13+HomePage!$D$10)&gt;HomePage!$D$11,HomePage!$D$11,(A13+HomePage!$D$10))))))</f>
        <v/>
      </c>
      <c r="B12" s="186" t="str">
        <f>IF(B13="","",IF((B13+1)&gt;HomePage!$D$5,"",(B13+1)))</f>
        <v/>
      </c>
      <c r="X12" s="187" t="str">
        <f>IF(X$34="","",FV((1+PERCENT!$E$8)^(1/12)-1,12,-$A12,,1))</f>
        <v/>
      </c>
      <c r="Y12" s="187" t="str">
        <f>IF(Y$34="","",FV(PERCENT!$E$8,1,,-RESULT!X12,))</f>
        <v/>
      </c>
      <c r="Z12" s="187" t="str">
        <f>IF(Z$34="","",FV(PERCENT!$E$8,1,,-RESULT!Y12,))</f>
        <v/>
      </c>
      <c r="AA12" s="187" t="str">
        <f>IF(AA$34="","",FV(PERCENT!$E$8,1,,-RESULT!Z12,))</f>
        <v/>
      </c>
      <c r="AB12" s="187" t="str">
        <f>IF(AB$34="","",FV(PERCENT!$E$8,1,,-RESULT!AA12,))</f>
        <v/>
      </c>
      <c r="AC12" s="187" t="str">
        <f>IF(AC$34="","",FV(PERCENT!$E$8,1,,-RESULT!AB12,))</f>
        <v/>
      </c>
      <c r="AD12" s="187" t="str">
        <f>IF(AD$34="","",FV(PERCENT!$E$8,1,,-RESULT!AC12,))</f>
        <v/>
      </c>
      <c r="AE12" s="187" t="str">
        <f>IF(AE$34="","",FV(PERCENT!$E$8,1,,-RESULT!AD12,))</f>
        <v/>
      </c>
      <c r="AF12" s="187" t="str">
        <f>IF(AF$34="","",FV(PERCENT!$E$8,1,,-RESULT!AE12,))</f>
        <v/>
      </c>
      <c r="EZ12" s="158">
        <f t="shared" si="0"/>
        <v>0</v>
      </c>
    </row>
    <row r="13" spans="1:156">
      <c r="A13" s="185" t="str">
        <f>IF(B13="","",IF(ISBLANK(HomePage!$D$8),HOME,IF(HomePage!$D$8="Percentage",IF(NOT(HomePage!$D$11&gt;0),A14*(1+HomePage!$D$9),IF(A14*(1+HomePage!$D$9)&gt;HomePage!$D$11,HomePage!$D$11,A14*(1+HomePage!$D$9))),IF(NOT(HomePage!$D$11&gt;0),A14+HomePage!$D$10,IF((A14+HomePage!$D$10)&gt;HomePage!$D$11,HomePage!$D$11,(A14+HomePage!$D$10))))))</f>
        <v/>
      </c>
      <c r="B13" s="186" t="str">
        <f>IF(B14="","",IF((B14+1)&gt;HomePage!$D$5,"",(B14+1)))</f>
        <v/>
      </c>
      <c r="W13" s="187" t="str">
        <f>IF(W$34="","",FV((1+PERCENT!$E$8)^(1/12)-1,12,-$A13,,1))</f>
        <v/>
      </c>
      <c r="X13" s="187" t="str">
        <f>IF(X$34="","",FV(PERCENT!$E$8,1,,-RESULT!W13,))</f>
        <v/>
      </c>
      <c r="Y13" s="187" t="str">
        <f>IF(Y$34="","",FV(PERCENT!$E$8,1,,-RESULT!X13,))</f>
        <v/>
      </c>
      <c r="Z13" s="187" t="str">
        <f>IF(Z$34="","",FV(PERCENT!$E$8,1,,-RESULT!Y13,))</f>
        <v/>
      </c>
      <c r="AA13" s="187" t="str">
        <f>IF(AA$34="","",FV(PERCENT!$E$8,1,,-RESULT!Z13,))</f>
        <v/>
      </c>
      <c r="AB13" s="187" t="str">
        <f>IF(AB$34="","",FV(PERCENT!$E$8,1,,-RESULT!AA13,))</f>
        <v/>
      </c>
      <c r="AC13" s="187" t="str">
        <f>IF(AC$34="","",FV(PERCENT!$E$8,1,,-RESULT!AB13,))</f>
        <v/>
      </c>
      <c r="AD13" s="187" t="str">
        <f>IF(AD$34="","",FV(PERCENT!$E$8,1,,-RESULT!AC13,))</f>
        <v/>
      </c>
      <c r="AE13" s="187" t="str">
        <f>IF(AE$34="","",FV(PERCENT!$E$8,1,,-RESULT!AD13,))</f>
        <v/>
      </c>
      <c r="AF13" s="187" t="str">
        <f>IF(AF$34="","",FV(PERCENT!$E$8,1,,-RESULT!AE13,))</f>
        <v/>
      </c>
      <c r="EZ13" s="158">
        <f t="shared" si="0"/>
        <v>0</v>
      </c>
    </row>
    <row r="14" spans="1:156">
      <c r="A14" s="185" t="str">
        <f>IF(B14="","",IF(ISBLANK(HomePage!$D$8),HOME,IF(HomePage!$D$8="Percentage",IF(NOT(HomePage!$D$11&gt;0),A15*(1+HomePage!$D$9),IF(A15*(1+HomePage!$D$9)&gt;HomePage!$D$11,HomePage!$D$11,A15*(1+HomePage!$D$9))),IF(NOT(HomePage!$D$11&gt;0),A15+HomePage!$D$10,IF((A15+HomePage!$D$10)&gt;HomePage!$D$11,HomePage!$D$11,(A15+HomePage!$D$10))))))</f>
        <v/>
      </c>
      <c r="B14" s="186" t="str">
        <f>IF(B15="","",IF((B15+1)&gt;HomePage!$D$5,"",(B15+1)))</f>
        <v/>
      </c>
      <c r="V14" s="187" t="str">
        <f>IF(V$34="","",FV((1+PERCENT!$E$8)^(1/12)-1,12,-$A14,,1))</f>
        <v/>
      </c>
      <c r="W14" s="187" t="str">
        <f>IF(W$34="","",FV(PERCENT!$E$8,1,,-RESULT!V14,))</f>
        <v/>
      </c>
      <c r="X14" s="187" t="str">
        <f>IF(X$34="","",FV(PERCENT!$E$8,1,,-RESULT!W14,))</f>
        <v/>
      </c>
      <c r="Y14" s="187" t="str">
        <f>IF(Y$34="","",FV(PERCENT!$E$8,1,,-RESULT!X14,))</f>
        <v/>
      </c>
      <c r="Z14" s="187" t="str">
        <f>IF(Z$34="","",FV(PERCENT!$E$8,1,,-RESULT!Y14,))</f>
        <v/>
      </c>
      <c r="AA14" s="187" t="str">
        <f>IF(AA$34="","",FV(PERCENT!$E$8,1,,-RESULT!Z14,))</f>
        <v/>
      </c>
      <c r="AB14" s="187" t="str">
        <f>IF(AB$34="","",FV(PERCENT!$E$8,1,,-RESULT!AA14,))</f>
        <v/>
      </c>
      <c r="AC14" s="187" t="str">
        <f>IF(AC$34="","",FV(PERCENT!$E$8,1,,-RESULT!AB14,))</f>
        <v/>
      </c>
      <c r="AD14" s="187" t="str">
        <f>IF(AD$34="","",FV(PERCENT!$E$8,1,,-RESULT!AC14,))</f>
        <v/>
      </c>
      <c r="AE14" s="187" t="str">
        <f>IF(AE$34="","",FV(PERCENT!$E$8,1,,-RESULT!AD14,))</f>
        <v/>
      </c>
      <c r="AF14" s="187" t="str">
        <f>IF(AF$34="","",FV(PERCENT!$E$8,1,,-RESULT!AE14,))</f>
        <v/>
      </c>
      <c r="EZ14" s="158">
        <f t="shared" si="0"/>
        <v>0</v>
      </c>
    </row>
    <row r="15" spans="1:156">
      <c r="A15" s="185" t="str">
        <f>IF(B15="","",IF(ISBLANK(HomePage!$D$8),HOME,IF(HomePage!$D$8="Percentage",IF(NOT(HomePage!$D$11&gt;0),A16*(1+HomePage!$D$9),IF(A16*(1+HomePage!$D$9)&gt;HomePage!$D$11,HomePage!$D$11,A16*(1+HomePage!$D$9))),IF(NOT(HomePage!$D$11&gt;0),A16+HomePage!$D$10,IF((A16+HomePage!$D$10)&gt;HomePage!$D$11,HomePage!$D$11,(A16+HomePage!$D$10))))))</f>
        <v/>
      </c>
      <c r="B15" s="186" t="str">
        <f>IF(B16="","",IF((B16+1)&gt;HomePage!$D$5,"",(B16+1)))</f>
        <v/>
      </c>
      <c r="U15" s="187" t="str">
        <f>IF(U$34="","",FV((1+PERCENT!$E$8)^(1/12)-1,12,-$A15,,1))</f>
        <v/>
      </c>
      <c r="V15" s="187" t="str">
        <f>IF(V$34="","",FV(PERCENT!$E$8,1,,-RESULT!U15,))</f>
        <v/>
      </c>
      <c r="W15" s="187" t="str">
        <f>IF(W$34="","",FV(PERCENT!$E$8,1,,-RESULT!V15,))</f>
        <v/>
      </c>
      <c r="X15" s="187" t="str">
        <f>IF(X$34="","",FV(PERCENT!$E$8,1,,-RESULT!W15,))</f>
        <v/>
      </c>
      <c r="Y15" s="187" t="str">
        <f>IF(Y$34="","",FV(PERCENT!$E$8,1,,-RESULT!X15,))</f>
        <v/>
      </c>
      <c r="Z15" s="187" t="str">
        <f>IF(Z$34="","",FV(PERCENT!$E$8,1,,-RESULT!Y15,))</f>
        <v/>
      </c>
      <c r="AA15" s="187" t="str">
        <f>IF(AA$34="","",FV(PERCENT!$E$8,1,,-RESULT!Z15,))</f>
        <v/>
      </c>
      <c r="AB15" s="187" t="str">
        <f>IF(AB$34="","",FV(PERCENT!$E$8,1,,-RESULT!AA15,))</f>
        <v/>
      </c>
      <c r="AC15" s="187" t="str">
        <f>IF(AC$34="","",FV(PERCENT!$E$8,1,,-RESULT!AB15,))</f>
        <v/>
      </c>
      <c r="AD15" s="187" t="str">
        <f>IF(AD$34="","",FV(PERCENT!$E$8,1,,-RESULT!AC15,))</f>
        <v/>
      </c>
      <c r="AE15" s="187" t="str">
        <f>IF(AE$34="","",FV(PERCENT!$E$8,1,,-RESULT!AD15,))</f>
        <v/>
      </c>
      <c r="AF15" s="187" t="str">
        <f>IF(AF$34="","",FV(PERCENT!$E$8,1,,-RESULT!AE15,))</f>
        <v/>
      </c>
      <c r="EZ15" s="158">
        <f t="shared" si="0"/>
        <v>0</v>
      </c>
    </row>
    <row r="16" spans="1:156">
      <c r="A16" s="185" t="str">
        <f>IF(B16="","",IF(ISBLANK(HomePage!$D$8),HOME,IF(HomePage!$D$8="Percentage",IF(NOT(HomePage!$D$11&gt;0),A17*(1+HomePage!$D$9),IF(A17*(1+HomePage!$D$9)&gt;HomePage!$D$11,HomePage!$D$11,A17*(1+HomePage!$D$9))),IF(NOT(HomePage!$D$11&gt;0),A17+HomePage!$D$10,IF((A17+HomePage!$D$10)&gt;HomePage!$D$11,HomePage!$D$11,(A17+HomePage!$D$10))))))</f>
        <v/>
      </c>
      <c r="B16" s="186" t="str">
        <f>IF(B17="","",IF((B17+1)&gt;HomePage!$D$5,"",(B17+1)))</f>
        <v/>
      </c>
      <c r="T16" s="187" t="str">
        <f>IF(T$34="","",FV((1+PERCENT!$E$8)^(1/12)-1,12,-$A16,,1))</f>
        <v/>
      </c>
      <c r="U16" s="187" t="str">
        <f>IF(U$34="","",FV(PERCENT!$E$8,1,,-RESULT!T16,))</f>
        <v/>
      </c>
      <c r="V16" s="187" t="str">
        <f>IF(V$34="","",FV(PERCENT!$E$8,1,,-RESULT!U16,))</f>
        <v/>
      </c>
      <c r="W16" s="187" t="str">
        <f>IF(W$34="","",FV(PERCENT!$E$8,1,,-RESULT!V16,))</f>
        <v/>
      </c>
      <c r="X16" s="187" t="str">
        <f>IF(X$34="","",FV(PERCENT!$E$8,1,,-RESULT!W16,))</f>
        <v/>
      </c>
      <c r="Y16" s="187" t="str">
        <f>IF(Y$34="","",FV(PERCENT!$E$8,1,,-RESULT!X16,))</f>
        <v/>
      </c>
      <c r="Z16" s="187" t="str">
        <f>IF(Z$34="","",FV(PERCENT!$E$8,1,,-RESULT!Y16,))</f>
        <v/>
      </c>
      <c r="AA16" s="187" t="str">
        <f>IF(AA$34="","",FV(PERCENT!$E$8,1,,-RESULT!Z16,))</f>
        <v/>
      </c>
      <c r="AB16" s="187" t="str">
        <f>IF(AB$34="","",FV(PERCENT!$E$8,1,,-RESULT!AA16,))</f>
        <v/>
      </c>
      <c r="AC16" s="187" t="str">
        <f>IF(AC$34="","",FV(PERCENT!$E$8,1,,-RESULT!AB16,))</f>
        <v/>
      </c>
      <c r="AD16" s="187" t="str">
        <f>IF(AD$34="","",FV(PERCENT!$E$8,1,,-RESULT!AC16,))</f>
        <v/>
      </c>
      <c r="AE16" s="187" t="str">
        <f>IF(AE$34="","",FV(PERCENT!$E$8,1,,-RESULT!AD16,))</f>
        <v/>
      </c>
      <c r="AF16" s="187" t="str">
        <f>IF(AF$34="","",FV(PERCENT!$E$8,1,,-RESULT!AE16,))</f>
        <v/>
      </c>
      <c r="EZ16" s="158">
        <f t="shared" si="0"/>
        <v>0</v>
      </c>
    </row>
    <row r="17" spans="1:156">
      <c r="A17" s="185" t="str">
        <f>IF(B17="","",IF(ISBLANK(HomePage!$D$8),HOME,IF(HomePage!$D$8="Percentage",IF(NOT(HomePage!$D$11&gt;0),A18*(1+HomePage!$D$9),IF(A18*(1+HomePage!$D$9)&gt;HomePage!$D$11,HomePage!$D$11,A18*(1+HomePage!$D$9))),IF(NOT(HomePage!$D$11&gt;0),A18+HomePage!$D$10,IF((A18+HomePage!$D$10)&gt;HomePage!$D$11,HomePage!$D$11,(A18+HomePage!$D$10))))))</f>
        <v/>
      </c>
      <c r="B17" s="186" t="str">
        <f>IF(B18="","",IF((B18+1)&gt;HomePage!$D$5,"",(B18+1)))</f>
        <v/>
      </c>
      <c r="S17" s="187" t="str">
        <f>IF(S$34="","",FV((1+PERCENT!$E$8)^(1/12)-1,12,-$A17,,1))</f>
        <v/>
      </c>
      <c r="T17" s="187" t="str">
        <f>IF(T$34="","",FV(PERCENT!$E$8,1,,-RESULT!S17,))</f>
        <v/>
      </c>
      <c r="U17" s="187" t="str">
        <f>IF(U$34="","",FV(PERCENT!$E$8,1,,-RESULT!T17,))</f>
        <v/>
      </c>
      <c r="V17" s="187" t="str">
        <f>IF(V$34="","",FV(PERCENT!$E$8,1,,-RESULT!U17,))</f>
        <v/>
      </c>
      <c r="W17" s="187" t="str">
        <f>IF(W$34="","",FV(PERCENT!$E$8,1,,-RESULT!V17,))</f>
        <v/>
      </c>
      <c r="X17" s="187" t="str">
        <f>IF(X$34="","",FV(PERCENT!$E$8,1,,-RESULT!W17,))</f>
        <v/>
      </c>
      <c r="Y17" s="187" t="str">
        <f>IF(Y$34="","",FV(PERCENT!$E$8,1,,-RESULT!X17,))</f>
        <v/>
      </c>
      <c r="Z17" s="187" t="str">
        <f>IF(Z$34="","",FV(PERCENT!$E$8,1,,-RESULT!Y17,))</f>
        <v/>
      </c>
      <c r="AA17" s="187" t="str">
        <f>IF(AA$34="","",FV(PERCENT!$E$8,1,,-RESULT!Z17,))</f>
        <v/>
      </c>
      <c r="AB17" s="187" t="str">
        <f>IF(AB$34="","",FV(PERCENT!$E$8,1,,-RESULT!AA17,))</f>
        <v/>
      </c>
      <c r="AC17" s="187" t="str">
        <f>IF(AC$34="","",FV(PERCENT!$E$8,1,,-RESULT!AB17,))</f>
        <v/>
      </c>
      <c r="AD17" s="187" t="str">
        <f>IF(AD$34="","",FV(PERCENT!$E$8,1,,-RESULT!AC17,))</f>
        <v/>
      </c>
      <c r="AE17" s="187" t="str">
        <f>IF(AE$34="","",FV(PERCENT!$E$8,1,,-RESULT!AD17,))</f>
        <v/>
      </c>
      <c r="AF17" s="187" t="str">
        <f>IF(AF$34="","",FV(PERCENT!$E$8,1,,-RESULT!AE17,))</f>
        <v/>
      </c>
      <c r="EZ17" s="158">
        <f t="shared" si="0"/>
        <v>0</v>
      </c>
    </row>
    <row r="18" spans="1:156">
      <c r="A18" s="185" t="str">
        <f>IF(B18="","",IF(ISBLANK(HomePage!$D$8),HOME,IF(HomePage!$D$8="Percentage",IF(NOT(HomePage!$D$11&gt;0),A19*(1+HomePage!$D$9),IF(A19*(1+HomePage!$D$9)&gt;HomePage!$D$11,HomePage!$D$11,A19*(1+HomePage!$D$9))),IF(NOT(HomePage!$D$11&gt;0),A19+HomePage!$D$10,IF((A19+HomePage!$D$10)&gt;HomePage!$D$11,HomePage!$D$11,(A19+HomePage!$D$10))))))</f>
        <v/>
      </c>
      <c r="B18" s="186" t="str">
        <f>IF(B19="","",IF((B19+1)&gt;HomePage!$D$5,"",(B19+1)))</f>
        <v/>
      </c>
      <c r="R18" s="187" t="str">
        <f>IF(R34="","",FV((1+PERCENT!$E$8)^(1/12)-1,12,-A18,,1))</f>
        <v/>
      </c>
      <c r="S18" s="187" t="str">
        <f>IF(S34="","",FV(PERCENT!$E$8,1,,-RESULT!R18,))</f>
        <v/>
      </c>
      <c r="T18" s="187" t="str">
        <f>IF(T$34="","",FV(PERCENT!$E$8,1,,-RESULT!S18,))</f>
        <v/>
      </c>
      <c r="U18" s="187" t="str">
        <f>IF(U34="","",FV(PERCENT!$E$8,1,,-RESULT!T18,))</f>
        <v/>
      </c>
      <c r="V18" s="187" t="str">
        <f>IF(V34="","",FV(PERCENT!$E$8,1,,-RESULT!U18,))</f>
        <v/>
      </c>
      <c r="W18" s="187" t="str">
        <f>IF(W34="","",FV(PERCENT!$E$8,1,,-RESULT!V18,))</f>
        <v/>
      </c>
      <c r="X18" s="187" t="str">
        <f>IF(X34="","",FV(PERCENT!$E$8,1,,-RESULT!W18,))</f>
        <v/>
      </c>
      <c r="Y18" s="187" t="str">
        <f>IF(Y$34="","",FV(PERCENT!$E$8,1,,-RESULT!X18,))</f>
        <v/>
      </c>
      <c r="Z18" s="187" t="str">
        <f>IF(Z$34="","",FV(PERCENT!$E$8,1,,-RESULT!Y18,))</f>
        <v/>
      </c>
      <c r="AA18" s="187" t="str">
        <f>IF(AA$34="","",FV(PERCENT!$E$8,1,,-RESULT!Z18,))</f>
        <v/>
      </c>
      <c r="AB18" s="187" t="str">
        <f>IF(AB$34="","",FV(PERCENT!$E$8,1,,-RESULT!AA18,))</f>
        <v/>
      </c>
      <c r="AC18" s="187" t="str">
        <f>IF(AC$34="","",FV(PERCENT!$E$8,1,,-RESULT!AB18,))</f>
        <v/>
      </c>
      <c r="AD18" s="187" t="str">
        <f>IF(AD$34="","",FV(PERCENT!$E$8,1,,-RESULT!AC18,))</f>
        <v/>
      </c>
      <c r="AE18" s="187" t="str">
        <f>IF(AE$34="","",FV(PERCENT!$E$8,1,,-RESULT!AD18,))</f>
        <v/>
      </c>
      <c r="AF18" s="187" t="str">
        <f>IF(AF$34="","",FV(PERCENT!$E$8,1,,-RESULT!AE18,))</f>
        <v/>
      </c>
      <c r="EZ18" s="158">
        <f t="shared" si="0"/>
        <v>0</v>
      </c>
    </row>
    <row r="19" spans="1:156">
      <c r="A19" s="185" t="str">
        <f>IF(B19="","",IF(ISBLANK(HomePage!$D$8),HOME,IF(HomePage!$D$8="Percentage",IF(NOT(HomePage!$D$11&gt;0),A20*(1+HomePage!$D$9),IF(A20*(1+HomePage!$D$9)&gt;HomePage!$D$11,HomePage!$D$11,A20*(1+HomePage!$D$9))),IF(NOT(HomePage!$D$11&gt;0),A20+HomePage!$D$10,IF((A20+HomePage!$D$10)&gt;HomePage!$D$11,HomePage!$D$11,(A20+HomePage!$D$10))))))</f>
        <v/>
      </c>
      <c r="B19" s="186" t="str">
        <f>IF(B20="","",IF((B20+1)&gt;HomePage!$D$5,"",(B20+1)))</f>
        <v/>
      </c>
      <c r="Q19" s="187" t="str">
        <f>IF(Q34="","",FV((1+PERCENT!$E$8)^(1/12)-1,12,-A19,,1))</f>
        <v/>
      </c>
      <c r="R19" s="187" t="str">
        <f>IF(R34="","",FV(PERCENT!$E$8,1,,-RESULT!Q19,))</f>
        <v/>
      </c>
      <c r="S19" s="187" t="str">
        <f>IF(S34="","",FV(PERCENT!$E$8,1,,-RESULT!R19,))</f>
        <v/>
      </c>
      <c r="T19" s="187" t="str">
        <f>IF(T34="","",FV(PERCENT!$E$8,1,,-RESULT!S19,))</f>
        <v/>
      </c>
      <c r="U19" s="187" t="str">
        <f>IF(U34="","",FV(PERCENT!$E$8,1,,-RESULT!T19,))</f>
        <v/>
      </c>
      <c r="V19" s="187" t="str">
        <f>IF(V34="","",FV(PERCENT!$E$8,1,,-RESULT!U19,))</f>
        <v/>
      </c>
      <c r="W19" s="187" t="str">
        <f>IF(W34="","",FV(PERCENT!$E$8,1,,-RESULT!V19,))</f>
        <v/>
      </c>
      <c r="X19" s="187" t="str">
        <f>IF(X34="","",FV(PERCENT!$E$8,1,,-RESULT!W19,))</f>
        <v/>
      </c>
      <c r="Y19" s="187" t="str">
        <f>IF(Y$34="","",FV(PERCENT!$E$8,1,,-RESULT!X19,))</f>
        <v/>
      </c>
      <c r="Z19" s="187" t="str">
        <f>IF(Z$34="","",FV(PERCENT!$E$8,1,,-RESULT!Y19,))</f>
        <v/>
      </c>
      <c r="AA19" s="187" t="str">
        <f>IF(AA$34="","",FV(PERCENT!$E$8,1,,-RESULT!Z19,))</f>
        <v/>
      </c>
      <c r="AB19" s="187" t="str">
        <f>IF(AB$34="","",FV(PERCENT!$E$8,1,,-RESULT!AA19,))</f>
        <v/>
      </c>
      <c r="AC19" s="187" t="str">
        <f>IF(AC$34="","",FV(PERCENT!$E$8,1,,-RESULT!AB19,))</f>
        <v/>
      </c>
      <c r="AD19" s="187" t="str">
        <f>IF(AD$34="","",FV(PERCENT!$E$8,1,,-RESULT!AC19,))</f>
        <v/>
      </c>
      <c r="AE19" s="187" t="str">
        <f>IF(AE$34="","",FV(PERCENT!$E$8,1,,-RESULT!AD19,))</f>
        <v/>
      </c>
      <c r="AF19" s="187" t="str">
        <f>IF(AF$34="","",FV(PERCENT!$E$8,1,,-RESULT!AE19,))</f>
        <v/>
      </c>
      <c r="EZ19" s="158">
        <f t="shared" si="0"/>
        <v>0</v>
      </c>
    </row>
    <row r="20" spans="1:156">
      <c r="A20" s="185" t="str">
        <f>IF(B20="","",IF(ISBLANK(HomePage!$D$8),HOME,IF(HomePage!$D$8="Percentage",IF(NOT(HomePage!$D$11&gt;0),A21*(1+HomePage!$D$9),IF(A21*(1+HomePage!$D$9)&gt;HomePage!$D$11,HomePage!$D$11,A21*(1+HomePage!$D$9))),IF(NOT(HomePage!$D$11&gt;0),A21+HomePage!$D$10,IF((A21+HomePage!$D$10)&gt;HomePage!$D$11,HomePage!$D$11,(A21+HomePage!$D$10))))))</f>
        <v/>
      </c>
      <c r="B20" s="186" t="str">
        <f>IF(B21="","",IF((B21+1)&gt;HomePage!$D$5,"",(B21+1)))</f>
        <v/>
      </c>
      <c r="P20" s="187" t="str">
        <f>IF(P34="","",FV((1+PERCENT!$E$8)^(1/12)-1,12,-A20,,1))</f>
        <v/>
      </c>
      <c r="Q20" s="187" t="str">
        <f>IF(Q34="","",FV(PERCENT!$E$8,1,,-RESULT!P20,))</f>
        <v/>
      </c>
      <c r="R20" s="187" t="str">
        <f>IF(R34="","",FV(PERCENT!$E$8,1,,-RESULT!Q20,))</f>
        <v/>
      </c>
      <c r="S20" s="187" t="str">
        <f>IF(S34="","",FV(PERCENT!$E$8,1,,-RESULT!R20,))</f>
        <v/>
      </c>
      <c r="T20" s="187" t="str">
        <f>IF(T34="","",FV(PERCENT!$E$8,1,,-RESULT!S20,))</f>
        <v/>
      </c>
      <c r="U20" s="187" t="str">
        <f>IF(U34="","",FV(PERCENT!$E$8,1,,-RESULT!T20,))</f>
        <v/>
      </c>
      <c r="V20" s="187" t="str">
        <f>IF(V34="","",FV(PERCENT!$E$8,1,,-RESULT!U20,))</f>
        <v/>
      </c>
      <c r="W20" s="187" t="str">
        <f>IF(W34="","",FV(PERCENT!$E$8,1,,-RESULT!V20,))</f>
        <v/>
      </c>
      <c r="X20" s="187" t="str">
        <f>IF(X34="","",FV(PERCENT!$E$8,1,,-RESULT!W20,))</f>
        <v/>
      </c>
      <c r="Y20" s="187" t="str">
        <f>IF(Y34="","",FV(PERCENT!$E$8,1,,-RESULT!X20,))</f>
        <v/>
      </c>
      <c r="Z20" s="187" t="str">
        <f>IF(Z34="","",FV(PERCENT!$E$8,1,,-RESULT!Y20,))</f>
        <v/>
      </c>
      <c r="AA20" s="187" t="str">
        <f>IF(AA34="","",FV(PERCENT!$E$8,1,,-RESULT!Z20,))</f>
        <v/>
      </c>
      <c r="AB20" s="187" t="str">
        <f>IF(AB34="","",FV(PERCENT!$E$8,1,,-RESULT!AA20,))</f>
        <v/>
      </c>
      <c r="AC20" s="187" t="str">
        <f>IF(AC34="","",FV(PERCENT!$E$8,1,,-RESULT!AB20,))</f>
        <v/>
      </c>
      <c r="AD20" s="187" t="str">
        <f>IF(AD34="","",FV(PERCENT!$E$8,1,,-RESULT!AC20,))</f>
        <v/>
      </c>
      <c r="AE20" s="187" t="str">
        <f>IF(AE34="","",FV(PERCENT!$E$8,1,,-RESULT!AD20,))</f>
        <v/>
      </c>
      <c r="AF20" s="187" t="str">
        <f>IF(AF34="","",FV(PERCENT!$E$8,1,,-RESULT!AE20,))</f>
        <v/>
      </c>
      <c r="EZ20" s="158">
        <f t="shared" si="0"/>
        <v>0</v>
      </c>
    </row>
    <row r="21" spans="1:156">
      <c r="A21" s="185" t="str">
        <f>IF(B21="","",IF(ISBLANK(HomePage!$D$8),HOME,IF(HomePage!$D$8="Percentage",IF(NOT(HomePage!$D$11&gt;0),A22*(1+HomePage!$D$9),IF(A22*(1+HomePage!$D$9)&gt;HomePage!$D$11,HomePage!$D$11,A22*(1+HomePage!$D$9))),IF(NOT(HomePage!$D$11&gt;0),A22+HomePage!$D$10,IF((A22+HomePage!$D$10)&gt;HomePage!$D$11,HomePage!$D$11,(A22+HomePage!$D$10))))))</f>
        <v/>
      </c>
      <c r="B21" s="186" t="str">
        <f>IF(B22="","",IF((B22+1)&gt;HomePage!$D$5,"",(B22+1)))</f>
        <v/>
      </c>
      <c r="O21" s="187" t="str">
        <f>IF(O34="","",FV((1+PERCENT!$E$8)^(1/12)-1,12,-A21,,1))</f>
        <v/>
      </c>
      <c r="P21" s="187" t="str">
        <f>IF(P34="","",FV(PERCENT!$E$8,1,,-RESULT!O21,))</f>
        <v/>
      </c>
      <c r="Q21" s="187" t="str">
        <f>IF(Q34="","",FV(PERCENT!$E$8,1,,-RESULT!P21,))</f>
        <v/>
      </c>
      <c r="R21" s="187" t="str">
        <f>IF(R34="","",FV(PERCENT!$E$8,1,,-RESULT!Q21,))</f>
        <v/>
      </c>
      <c r="S21" s="187" t="str">
        <f>IF(S34="","",FV(PERCENT!$E$8,1,,-RESULT!R21,))</f>
        <v/>
      </c>
      <c r="T21" s="187" t="str">
        <f>IF(T34="","",FV(PERCENT!$E$8,1,,-RESULT!S21,))</f>
        <v/>
      </c>
      <c r="U21" s="187" t="str">
        <f>IF(U34="","",FV(PERCENT!$E$8,1,,-RESULT!T21,))</f>
        <v/>
      </c>
      <c r="V21" s="187" t="str">
        <f>IF(V34="","",FV(PERCENT!$E$8,1,,-RESULT!U21,))</f>
        <v/>
      </c>
      <c r="W21" s="187" t="str">
        <f>IF(W34="","",FV(PERCENT!$E$8,1,,-RESULT!V21,))</f>
        <v/>
      </c>
      <c r="X21" s="187" t="str">
        <f>IF(X34="","",FV(PERCENT!$E$8,1,,-RESULT!W21,))</f>
        <v/>
      </c>
      <c r="Y21" s="187" t="str">
        <f>IF(Y34="","",FV(PERCENT!$E$8,1,,-RESULT!X21,))</f>
        <v/>
      </c>
      <c r="Z21" s="187" t="str">
        <f>IF(Z34="","",FV(PERCENT!$E$8,1,,-RESULT!Y21,))</f>
        <v/>
      </c>
      <c r="AA21" s="187" t="str">
        <f>IF(AA34="","",FV(PERCENT!$E$8,1,,-RESULT!Z21,))</f>
        <v/>
      </c>
      <c r="AB21" s="187" t="str">
        <f>IF(AB34="","",FV(PERCENT!$E$8,1,,-RESULT!AA21,))</f>
        <v/>
      </c>
      <c r="AC21" s="187" t="str">
        <f>IF(AC34="","",FV(PERCENT!$E$8,1,,-RESULT!AB21,))</f>
        <v/>
      </c>
      <c r="AD21" s="187" t="str">
        <f>IF(AD34="","",FV(PERCENT!$E$8,1,,-RESULT!AC21,))</f>
        <v/>
      </c>
      <c r="AE21" s="187" t="str">
        <f>IF(AE34="","",FV(PERCENT!$E$8,1,,-RESULT!AD21,))</f>
        <v/>
      </c>
      <c r="AF21" s="187" t="str">
        <f>IF(AF34="","",FV(PERCENT!$E$8,1,,-RESULT!AE21,))</f>
        <v/>
      </c>
      <c r="EZ21" s="158">
        <f t="shared" si="0"/>
        <v>0</v>
      </c>
    </row>
    <row r="22" spans="1:156">
      <c r="A22" s="185" t="str">
        <f>IF(B22="","",IF(ISBLANK(HomePage!$D$8),HOME,IF(HomePage!$D$8="Percentage",IF(NOT(HomePage!$D$11&gt;0),A23*(1+HomePage!$D$9),IF(A23*(1+HomePage!$D$9)&gt;HomePage!$D$11,HomePage!$D$11,A23*(1+HomePage!$D$9))),IF(NOT(HomePage!$D$11&gt;0),A23+HomePage!$D$10,IF((A23+HomePage!$D$10)&gt;HomePage!$D$11,HomePage!$D$11,(A23+HomePage!$D$10))))))</f>
        <v/>
      </c>
      <c r="B22" s="186" t="str">
        <f>IF(B23="","",IF((B23+1)&gt;HomePage!$D$5,"",(B23+1)))</f>
        <v/>
      </c>
      <c r="N22" s="187" t="str">
        <f>IF(N34="","",FV((1+PERCENT!$E$8)^(1/12)-1,12,-A22,,1))</f>
        <v/>
      </c>
      <c r="O22" s="187" t="str">
        <f>IF(O34="","",FV(PERCENT!$E$8,1,,-RESULT!N22,))</f>
        <v/>
      </c>
      <c r="P22" s="187" t="str">
        <f>IF(P34="","",FV(PERCENT!$E$8,1,,-RESULT!O22,))</f>
        <v/>
      </c>
      <c r="Q22" s="187" t="str">
        <f>IF(Q34="","",FV(PERCENT!$E$8,1,,-RESULT!P22,))</f>
        <v/>
      </c>
      <c r="R22" s="187" t="str">
        <f>IF(R34="","",FV(PERCENT!$E$8,1,,-RESULT!Q22,))</f>
        <v/>
      </c>
      <c r="S22" s="187" t="str">
        <f>IF(S34="","",FV(PERCENT!$E$8,1,,-RESULT!R22,))</f>
        <v/>
      </c>
      <c r="T22" s="187" t="str">
        <f>IF(T34="","",FV(PERCENT!$E$8,1,,-RESULT!S22,))</f>
        <v/>
      </c>
      <c r="U22" s="187" t="str">
        <f>IF(U34="","",FV(PERCENT!$E$8,1,,-RESULT!T22,))</f>
        <v/>
      </c>
      <c r="V22" s="187" t="str">
        <f>IF(V34="","",FV(PERCENT!$E$8,1,,-RESULT!U22,))</f>
        <v/>
      </c>
      <c r="W22" s="187" t="str">
        <f>IF(W34="","",FV(PERCENT!$E$8,1,,-RESULT!V22,))</f>
        <v/>
      </c>
      <c r="X22" s="187" t="str">
        <f>IF(X34="","",FV(PERCENT!$E$8,1,,-RESULT!W22,))</f>
        <v/>
      </c>
      <c r="Y22" s="187" t="str">
        <f>IF(Y34="","",FV(PERCENT!$E$8,1,,-RESULT!X22,))</f>
        <v/>
      </c>
      <c r="Z22" s="187" t="str">
        <f>IF(Z34="","",FV(PERCENT!$E$8,1,,-RESULT!Y22,))</f>
        <v/>
      </c>
      <c r="AA22" s="187" t="str">
        <f>IF(AA34="","",FV(PERCENT!$E$8,1,,-RESULT!Z22,))</f>
        <v/>
      </c>
      <c r="AB22" s="187" t="str">
        <f>IF(AB34="","",FV(PERCENT!$E$8,1,,-RESULT!AA22,))</f>
        <v/>
      </c>
      <c r="AC22" s="187" t="str">
        <f>IF(AC34="","",FV(PERCENT!$E$8,1,,-RESULT!AB22,))</f>
        <v/>
      </c>
      <c r="AD22" s="187" t="str">
        <f>IF(AD34="","",FV(PERCENT!$E$8,1,,-RESULT!AC22,))</f>
        <v/>
      </c>
      <c r="AE22" s="187" t="str">
        <f>IF(AE34="","",FV(PERCENT!$E$8,1,,-RESULT!AD22,))</f>
        <v/>
      </c>
      <c r="AF22" s="187" t="str">
        <f>IF(AF34="","",FV(PERCENT!$E$8,1,,-RESULT!AE22,))</f>
        <v/>
      </c>
      <c r="EZ22" s="158">
        <f t="shared" si="0"/>
        <v>0</v>
      </c>
    </row>
    <row r="23" spans="1:156">
      <c r="A23" s="185" t="str">
        <f>IF(B23="","",IF(ISBLANK(HomePage!$D$8),HOME,IF(HomePage!$D$8="Percentage",IF(NOT(HomePage!$D$11&gt;0),A24*(1+HomePage!$D$9),IF(A24*(1+HomePage!$D$9)&gt;HomePage!$D$11,HomePage!$D$11,A24*(1+HomePage!$D$9))),IF(NOT(HomePage!$D$11&gt;0),A24+HomePage!$D$10,IF((A24+HomePage!$D$10)&gt;HomePage!$D$11,HomePage!$D$11,(A24+HomePage!$D$10))))))</f>
        <v/>
      </c>
      <c r="B23" s="186" t="str">
        <f>IF(B24="","",IF((B24+1)&gt;HomePage!$D$5,"",(B24+1)))</f>
        <v/>
      </c>
      <c r="M23" s="187" t="str">
        <f>IF(M34="","",FV((1+PERCENT!$E$8)^(1/12)-1,12,-A23,,1))</f>
        <v/>
      </c>
      <c r="N23" s="187" t="str">
        <f>IF(N34="","",FV(PERCENT!$E$8,1,,-RESULT!M23,))</f>
        <v/>
      </c>
      <c r="O23" s="187" t="str">
        <f>IF(O34="","",FV(PERCENT!$E$8,1,,-RESULT!N23,))</f>
        <v/>
      </c>
      <c r="P23" s="187" t="str">
        <f>IF(P34="","",FV(PERCENT!$E$8,1,,-RESULT!O23,))</f>
        <v/>
      </c>
      <c r="Q23" s="187" t="str">
        <f>IF(Q34="","",FV(PERCENT!$E$8,1,,-RESULT!P23,))</f>
        <v/>
      </c>
      <c r="R23" s="187" t="str">
        <f>IF(R34="","",FV(PERCENT!$E$8,1,,-RESULT!Q23,))</f>
        <v/>
      </c>
      <c r="S23" s="187" t="str">
        <f>IF(S34="","",FV(PERCENT!$E$8,1,,-RESULT!R23,))</f>
        <v/>
      </c>
      <c r="T23" s="187" t="str">
        <f>IF(T34="","",FV(PERCENT!$E$8,1,,-RESULT!S23,))</f>
        <v/>
      </c>
      <c r="U23" s="187" t="str">
        <f>IF(U34="","",FV(PERCENT!$E$8,1,,-RESULT!T23,))</f>
        <v/>
      </c>
      <c r="V23" s="187" t="str">
        <f>IF(V34="","",FV(PERCENT!$E$8,1,,-RESULT!U23,))</f>
        <v/>
      </c>
      <c r="W23" s="187" t="str">
        <f>IF(W34="","",FV(PERCENT!$E$8,1,,-RESULT!V23,))</f>
        <v/>
      </c>
      <c r="X23" s="187" t="str">
        <f>IF(X34="","",FV(PERCENT!$E$8,1,,-RESULT!W23,))</f>
        <v/>
      </c>
      <c r="Y23" s="187" t="str">
        <f>IF(Y34="","",FV(PERCENT!$E$8,1,,-RESULT!X23,))</f>
        <v/>
      </c>
      <c r="Z23" s="187" t="str">
        <f>IF(Z34="","",FV(PERCENT!$E$8,1,,-RESULT!Y23,))</f>
        <v/>
      </c>
      <c r="AA23" s="187" t="str">
        <f>IF(AA34="","",FV(PERCENT!$E$8,1,,-RESULT!Z23,))</f>
        <v/>
      </c>
      <c r="AB23" s="187" t="str">
        <f>IF(AB34="","",FV(PERCENT!$E$8,1,,-RESULT!AA23,))</f>
        <v/>
      </c>
      <c r="AC23" s="187" t="str">
        <f>IF(AC34="","",FV(PERCENT!$E$8,1,,-RESULT!AB23,))</f>
        <v/>
      </c>
      <c r="AD23" s="187" t="str">
        <f>IF(AD34="","",FV(PERCENT!$E$8,1,,-RESULT!AC23,))</f>
        <v/>
      </c>
      <c r="AE23" s="187" t="str">
        <f>IF(AE34="","",FV(PERCENT!$E$8,1,,-RESULT!AD23,))</f>
        <v/>
      </c>
      <c r="AF23" s="187" t="str">
        <f>IF(AF34="","",FV(PERCENT!$E$8,1,,-RESULT!AE23,))</f>
        <v/>
      </c>
      <c r="EZ23" s="158">
        <f t="shared" si="0"/>
        <v>0</v>
      </c>
    </row>
    <row r="24" spans="1:156">
      <c r="A24" s="185">
        <f>IF(B24="","",IF(ISBLANK(HomePage!$D$8),HOME,IF(HomePage!$D$8="Percentage",IF(NOT(HomePage!$D$11&gt;0),A25*(1+HomePage!$D$9),IF(A25*(1+HomePage!$D$9)&gt;HomePage!$D$11,HomePage!$D$11,A25*(1+HomePage!$D$9))),IF(NOT(HomePage!$D$11&gt;0),A25+HomePage!$D$10,IF((A25+HomePage!$D$10)&gt;HomePage!$D$11,HomePage!$D$11,(A25+HomePage!$D$10))))))</f>
        <v>19000</v>
      </c>
      <c r="B24" s="186">
        <f>IF(B25="","",IF((B25+1)&gt;HomePage!$D$5,"",(B25+1)))</f>
        <v>10</v>
      </c>
      <c r="L24" s="187">
        <f>IF(L34="","",FV((1+PERCENT!$E$8)^(1/12)-1,12,-A24,,1))</f>
        <v>242563.46025871148</v>
      </c>
      <c r="M24" s="187" t="str">
        <f>IF(M34="","",FV(PERCENT!$E$8,1,,-RESULT!L24,))</f>
        <v/>
      </c>
      <c r="N24" s="187" t="str">
        <f>IF(N34="","",FV(PERCENT!$E$8,1,,-RESULT!M24,))</f>
        <v/>
      </c>
      <c r="O24" s="187" t="str">
        <f>IF(O34="","",FV(PERCENT!$E$8,1,,-RESULT!N24,))</f>
        <v/>
      </c>
      <c r="P24" s="187" t="str">
        <f>IF(P34="","",FV(PERCENT!$E$8,1,,-RESULT!O24,))</f>
        <v/>
      </c>
      <c r="Q24" s="187" t="str">
        <f>IF(Q34="","",FV(PERCENT!$E$8,1,,-RESULT!P24,))</f>
        <v/>
      </c>
      <c r="R24" s="187" t="str">
        <f>IF(R34="","",FV(PERCENT!$E$8,1,,-RESULT!Q24,))</f>
        <v/>
      </c>
      <c r="S24" s="187" t="str">
        <f>IF(S34="","",FV(PERCENT!$E$8,1,,-RESULT!R24,))</f>
        <v/>
      </c>
      <c r="T24" s="187" t="str">
        <f>IF(T34="","",FV(PERCENT!$E$8,1,,-RESULT!S24,))</f>
        <v/>
      </c>
      <c r="U24" s="187" t="str">
        <f>IF(U34="","",FV(PERCENT!$E$8,1,,-RESULT!T24,))</f>
        <v/>
      </c>
      <c r="V24" s="187" t="str">
        <f>IF(V34="","",FV(PERCENT!$E$8,1,,-RESULT!U24,))</f>
        <v/>
      </c>
      <c r="W24" s="187" t="str">
        <f>IF(W34="","",FV(PERCENT!$E$8,1,,-RESULT!V24,))</f>
        <v/>
      </c>
      <c r="X24" s="187" t="str">
        <f>IF(X34="","",FV(PERCENT!$E$8,1,,-RESULT!W24,))</f>
        <v/>
      </c>
      <c r="Y24" s="187" t="str">
        <f>IF(Y34="","",FV(PERCENT!$E$8,1,,-RESULT!X24,))</f>
        <v/>
      </c>
      <c r="Z24" s="187" t="str">
        <f>IF(Z34="","",FV(PERCENT!$E$8,1,,-RESULT!Y24,))</f>
        <v/>
      </c>
      <c r="AA24" s="187" t="str">
        <f>IF(AA34="","",FV(PERCENT!$E$8,1,,-RESULT!Z24,))</f>
        <v/>
      </c>
      <c r="AB24" s="187" t="str">
        <f>IF(AB34="","",FV(PERCENT!$E$8,1,,-RESULT!AA24,))</f>
        <v/>
      </c>
      <c r="AC24" s="187" t="str">
        <f>IF(AC34="","",FV(PERCENT!$E$8,1,,-RESULT!AB24,))</f>
        <v/>
      </c>
      <c r="AD24" s="187" t="str">
        <f>IF(AD34="","",FV(PERCENT!$E$8,1,,-RESULT!AC24,))</f>
        <v/>
      </c>
      <c r="AE24" s="187" t="str">
        <f>IF(AE34="","",FV(PERCENT!$E$8,1,,-RESULT!AD24,))</f>
        <v/>
      </c>
      <c r="AF24" s="187" t="str">
        <f>IF(AF34="","",FV(PERCENT!$E$8,1,,-RESULT!AE24,))</f>
        <v/>
      </c>
      <c r="EZ24" s="158">
        <f t="shared" si="0"/>
        <v>12</v>
      </c>
    </row>
    <row r="25" spans="1:156">
      <c r="A25" s="185">
        <f>IF(B25="","",IF(ISBLANK(HomePage!$D$8),HOME,IF(HomePage!$D$8="Percentage",IF(NOT(HomePage!$D$11&gt;0),A26*(1+HomePage!$D$9),IF(A26*(1+HomePage!$D$9)&gt;HomePage!$D$11,HomePage!$D$11,A26*(1+HomePage!$D$9))),IF(NOT(HomePage!$D$11&gt;0),A26+HomePage!$D$10,IF((A26+HomePage!$D$10)&gt;HomePage!$D$11,HomePage!$D$11,(A26+HomePage!$D$10))))))</f>
        <v>18000</v>
      </c>
      <c r="B25" s="186">
        <f>IF(B26="","",IF((B26+1)&gt;HomePage!$D$5,"",(B26+1)))</f>
        <v>9</v>
      </c>
      <c r="K25" s="187">
        <f>IF(K34="","",FV((1+PERCENT!$E$8)^(1/12)-1,12,-A25,,1))</f>
        <v>229796.96235035823</v>
      </c>
      <c r="L25" s="187">
        <f>IF(L34="","",FV(PERCENT!$E$8,1,,-RESULT!K25,))</f>
        <v>257372.59783240122</v>
      </c>
      <c r="M25" s="187" t="str">
        <f>IF(M34="","",FV(PERCENT!$E$8,1,,-RESULT!L25,))</f>
        <v/>
      </c>
      <c r="N25" s="187" t="str">
        <f>IF(N34="","",FV(PERCENT!$E$8,1,,-RESULT!M25,))</f>
        <v/>
      </c>
      <c r="O25" s="187" t="str">
        <f>IF(O34="","",FV(PERCENT!$E$8,1,,-RESULT!N25,))</f>
        <v/>
      </c>
      <c r="P25" s="187" t="str">
        <f>IF(P34="","",FV(PERCENT!$E$8,1,,-RESULT!O25,))</f>
        <v/>
      </c>
      <c r="Q25" s="187" t="str">
        <f>IF(Q34="","",FV(PERCENT!$E$8,1,,-RESULT!P25,))</f>
        <v/>
      </c>
      <c r="R25" s="187" t="str">
        <f>IF(R34="","",FV(PERCENT!$E$8,1,,-RESULT!Q25,))</f>
        <v/>
      </c>
      <c r="S25" s="187" t="str">
        <f>IF(S34="","",FV(PERCENT!$E$8,1,,-RESULT!R25,))</f>
        <v/>
      </c>
      <c r="T25" s="187" t="str">
        <f>IF(T34="","",FV(PERCENT!$E$8,1,,-RESULT!S25,))</f>
        <v/>
      </c>
      <c r="U25" s="187" t="str">
        <f>IF(U34="","",FV(PERCENT!$E$8,1,,-RESULT!T25,))</f>
        <v/>
      </c>
      <c r="V25" s="187" t="str">
        <f>IF(V34="","",FV(PERCENT!$E$8,1,,-RESULT!U25,))</f>
        <v/>
      </c>
      <c r="W25" s="187" t="str">
        <f>IF(W34="","",FV(PERCENT!$E$8,1,,-RESULT!V25,))</f>
        <v/>
      </c>
      <c r="X25" s="187" t="str">
        <f>IF(X34="","",FV(PERCENT!$E$8,1,,-RESULT!W25,))</f>
        <v/>
      </c>
      <c r="Y25" s="187" t="str">
        <f>IF(Y34="","",FV(PERCENT!$E$8,1,,-RESULT!X25,))</f>
        <v/>
      </c>
      <c r="Z25" s="187" t="str">
        <f>IF(Z34="","",FV(PERCENT!$E$8,1,,-RESULT!Y25,))</f>
        <v/>
      </c>
      <c r="AA25" s="187" t="str">
        <f>IF(AA34="","",FV(PERCENT!$E$8,1,,-RESULT!Z25,))</f>
        <v/>
      </c>
      <c r="AB25" s="187" t="str">
        <f>IF(AB34="","",FV(PERCENT!$E$8,1,,-RESULT!AA25,))</f>
        <v/>
      </c>
      <c r="AC25" s="187" t="str">
        <f>IF(AC34="","",FV(PERCENT!$E$8,1,,-RESULT!AB25,))</f>
        <v/>
      </c>
      <c r="AD25" s="187" t="str">
        <f>IF(AD34="","",FV(PERCENT!$E$8,1,,-RESULT!AC25,))</f>
        <v/>
      </c>
      <c r="AE25" s="187" t="str">
        <f>IF(AE34="","",FV(PERCENT!$E$8,1,,-RESULT!AD25,))</f>
        <v/>
      </c>
      <c r="AF25" s="187" t="str">
        <f>IF(AF34="","",FV(PERCENT!$E$8,1,,-RESULT!AE25,))</f>
        <v/>
      </c>
      <c r="EZ25" s="158">
        <f t="shared" si="0"/>
        <v>12</v>
      </c>
    </row>
    <row r="26" spans="1:156">
      <c r="A26" s="185">
        <f>IF(B26="","",IF(ISBLANK(HomePage!$D$8),HOME,IF(HomePage!$D$8="Percentage",IF(NOT(HomePage!$D$11&gt;0),A27*(1+HomePage!$D$9),IF(A27*(1+HomePage!$D$9)&gt;HomePage!$D$11,HomePage!$D$11,A27*(1+HomePage!$D$9))),IF(NOT(HomePage!$D$11&gt;0),A27+HomePage!$D$10,IF((A27+HomePage!$D$10)&gt;HomePage!$D$11,HomePage!$D$11,(A27+HomePage!$D$10))))))</f>
        <v>17000</v>
      </c>
      <c r="B26" s="186">
        <f>IF(B27="","",IF((B27+1)&gt;HomePage!$D$5,"",(B27+1)))</f>
        <v>8</v>
      </c>
      <c r="J26" s="187">
        <f>IF(J34="","",FV((1+PERCENT!$E$8)^(1/12)-1,12,-A26,,1))</f>
        <v>217030.464442005</v>
      </c>
      <c r="K26" s="187">
        <f>IF(K34="","",FV(PERCENT!$E$8,1,,-RESULT!J26,))</f>
        <v>243074.12017504562</v>
      </c>
      <c r="L26" s="187">
        <f>IF(L34="","",FV(PERCENT!$E$8,1,,-RESULT!K26,))</f>
        <v>272243.01459605113</v>
      </c>
      <c r="M26" s="187" t="str">
        <f>IF(M34="","",FV(PERCENT!$E$8,1,,-RESULT!L26,))</f>
        <v/>
      </c>
      <c r="N26" s="187" t="str">
        <f>IF(N34="","",FV(PERCENT!$E$8,1,,-RESULT!M26,))</f>
        <v/>
      </c>
      <c r="O26" s="187" t="str">
        <f>IF(O34="","",FV(PERCENT!$E$8,1,,-RESULT!N26,))</f>
        <v/>
      </c>
      <c r="P26" s="187" t="str">
        <f>IF(P34="","",FV(PERCENT!$E$8,1,,-RESULT!O26,))</f>
        <v/>
      </c>
      <c r="Q26" s="187" t="str">
        <f>IF(Q34="","",FV(PERCENT!$E$8,1,,-RESULT!P26,))</f>
        <v/>
      </c>
      <c r="R26" s="187" t="str">
        <f>IF(R34="","",FV(PERCENT!$E$8,1,,-RESULT!Q26,))</f>
        <v/>
      </c>
      <c r="S26" s="187" t="str">
        <f>IF(S34="","",FV(PERCENT!$E$8,1,,-RESULT!R26,))</f>
        <v/>
      </c>
      <c r="T26" s="187" t="str">
        <f>IF(T34="","",FV(PERCENT!$E$8,1,,-RESULT!S26,))</f>
        <v/>
      </c>
      <c r="U26" s="187" t="str">
        <f>IF(U34="","",FV(PERCENT!$E$8,1,,-RESULT!T26,))</f>
        <v/>
      </c>
      <c r="V26" s="187" t="str">
        <f>IF(V34="","",FV(PERCENT!$E$8,1,,-RESULT!U26,))</f>
        <v/>
      </c>
      <c r="W26" s="187" t="str">
        <f>IF(W34="","",FV(PERCENT!$E$8,1,,-RESULT!V26,))</f>
        <v/>
      </c>
      <c r="X26" s="187" t="str">
        <f>IF(X34="","",FV(PERCENT!$E$8,1,,-RESULT!W26,))</f>
        <v/>
      </c>
      <c r="Y26" s="187" t="str">
        <f>IF(Y34="","",FV(PERCENT!$E$8,1,,-RESULT!X26,))</f>
        <v/>
      </c>
      <c r="Z26" s="187" t="str">
        <f>IF(Z34="","",FV(PERCENT!$E$8,1,,-RESULT!Y26,))</f>
        <v/>
      </c>
      <c r="AA26" s="187" t="str">
        <f>IF(AA34="","",FV(PERCENT!$E$8,1,,-RESULT!Z26,))</f>
        <v/>
      </c>
      <c r="AB26" s="187" t="str">
        <f>IF(AB34="","",FV(PERCENT!$E$8,1,,-RESULT!AA26,))</f>
        <v/>
      </c>
      <c r="AC26" s="187" t="str">
        <f>IF(AC34="","",FV(PERCENT!$E$8,1,,-RESULT!AB26,))</f>
        <v/>
      </c>
      <c r="AD26" s="187" t="str">
        <f>IF(AD34="","",FV(PERCENT!$E$8,1,,-RESULT!AC26,))</f>
        <v/>
      </c>
      <c r="AE26" s="187" t="str">
        <f>IF(AE34="","",FV(PERCENT!$E$8,1,,-RESULT!AD26,))</f>
        <v/>
      </c>
      <c r="AF26" s="187" t="str">
        <f>IF(AF34="","",FV(PERCENT!$E$8,1,,-RESULT!AE26,))</f>
        <v/>
      </c>
      <c r="EZ26" s="158">
        <f t="shared" si="0"/>
        <v>12</v>
      </c>
    </row>
    <row r="27" spans="1:156">
      <c r="A27" s="185">
        <f>IF(B27="","",IF(ISBLANK(HomePage!$D$8),HOME,IF(HomePage!$D$8="Percentage",IF(NOT(HomePage!$D$11&gt;0),A28*(1+HomePage!$D$9),IF(A28*(1+HomePage!$D$9)&gt;HomePage!$D$11,HomePage!$D$11,A28*(1+HomePage!$D$9))),IF(NOT(HomePage!$D$11&gt;0),A28+HomePage!$D$10,IF((A28+HomePage!$D$10)&gt;HomePage!$D$11,HomePage!$D$11,(A28+HomePage!$D$10))))))</f>
        <v>16000</v>
      </c>
      <c r="B27" s="186">
        <f>IF(B28="","",IF((B28+1)&gt;HomePage!$D$5,"",(B28+1)))</f>
        <v>7</v>
      </c>
      <c r="I27" s="187">
        <f>IF(I34="","",FV((1+PERCENT!$E$8)^(1/12)-1,12,-A27,,1))</f>
        <v>204263.96653365178</v>
      </c>
      <c r="J27" s="187">
        <f>IF(J34="","",FV(PERCENT!$E$8,1,,-RESULT!I27,))</f>
        <v>228775.64251769002</v>
      </c>
      <c r="K27" s="187">
        <f>IF(K34="","",FV(PERCENT!$E$8,1,,-RESULT!J27,))</f>
        <v>256228.71961981285</v>
      </c>
      <c r="L27" s="187">
        <f>IF(L34="","",FV(PERCENT!$E$8,1,,-RESULT!K27,))</f>
        <v>286976.1659741904</v>
      </c>
      <c r="M27" s="187" t="str">
        <f>IF(M34="","",FV(PERCENT!$E$8,1,,-RESULT!L27,))</f>
        <v/>
      </c>
      <c r="N27" s="187" t="str">
        <f>IF(N34="","",FV(PERCENT!$E$8,1,,-RESULT!M27,))</f>
        <v/>
      </c>
      <c r="O27" s="187" t="str">
        <f>IF(O34="","",FV(PERCENT!$E$8,1,,-RESULT!N27,))</f>
        <v/>
      </c>
      <c r="P27" s="187" t="str">
        <f>IF(P34="","",FV(PERCENT!$E$8,1,,-RESULT!O27,))</f>
        <v/>
      </c>
      <c r="Q27" s="187" t="str">
        <f>IF(Q34="","",FV(PERCENT!$E$8,1,,-RESULT!P27,))</f>
        <v/>
      </c>
      <c r="R27" s="187" t="str">
        <f>IF(R34="","",FV(PERCENT!$E$8,1,,-RESULT!Q27,))</f>
        <v/>
      </c>
      <c r="S27" s="187" t="str">
        <f>IF(S34="","",FV(PERCENT!$E$8,1,,-RESULT!R27,))</f>
        <v/>
      </c>
      <c r="T27" s="187" t="str">
        <f>IF(T34="","",FV(PERCENT!$E$8,1,,-RESULT!S27,))</f>
        <v/>
      </c>
      <c r="U27" s="187" t="str">
        <f>IF(U34="","",FV(PERCENT!$E$8,1,,-RESULT!T27,))</f>
        <v/>
      </c>
      <c r="V27" s="187" t="str">
        <f>IF(V34="","",FV(PERCENT!$E$8,1,,-RESULT!U27,))</f>
        <v/>
      </c>
      <c r="W27" s="187" t="str">
        <f>IF(W34="","",FV(PERCENT!$E$8,1,,-RESULT!V27,))</f>
        <v/>
      </c>
      <c r="X27" s="187" t="str">
        <f>IF(X34="","",FV(PERCENT!$E$8,1,,-RESULT!W27,))</f>
        <v/>
      </c>
      <c r="Y27" s="187" t="str">
        <f>IF(Y34="","",FV(PERCENT!$E$8,1,,-RESULT!X27,))</f>
        <v/>
      </c>
      <c r="Z27" s="187" t="str">
        <f>IF(Z34="","",FV(PERCENT!$E$8,1,,-RESULT!Y27,))</f>
        <v/>
      </c>
      <c r="AA27" s="187" t="str">
        <f>IF(AA34="","",FV(PERCENT!$E$8,1,,-RESULT!Z27,))</f>
        <v/>
      </c>
      <c r="AB27" s="187" t="str">
        <f>IF(AB34="","",FV(PERCENT!$E$8,1,,-RESULT!AA27,))</f>
        <v/>
      </c>
      <c r="AC27" s="187" t="str">
        <f>IF(AC34="","",FV(PERCENT!$E$8,1,,-RESULT!AB27,))</f>
        <v/>
      </c>
      <c r="AD27" s="187" t="str">
        <f>IF(AD34="","",FV(PERCENT!$E$8,1,,-RESULT!AC27,))</f>
        <v/>
      </c>
      <c r="AE27" s="187" t="str">
        <f>IF(AE34="","",FV(PERCENT!$E$8,1,,-RESULT!AD27,))</f>
        <v/>
      </c>
      <c r="AF27" s="187" t="str">
        <f>IF(AF34="","",FV(PERCENT!$E$8,1,,-RESULT!AE27,))</f>
        <v/>
      </c>
      <c r="EZ27" s="158">
        <f t="shared" si="0"/>
        <v>12</v>
      </c>
    </row>
    <row r="28" spans="1:156">
      <c r="A28" s="185">
        <f>IF(B28="","",IF(ISBLANK(HomePage!$D$8),HOME,IF(HomePage!$D$8="Percentage",IF(NOT(HomePage!$D$11&gt;0),A29*(1+HomePage!$D$9),IF(A29*(1+HomePage!$D$9)&gt;HomePage!$D$11,HomePage!$D$11,A29*(1+HomePage!$D$9))),IF(NOT(HomePage!$D$11&gt;0),A29+HomePage!$D$10,IF((A29+HomePage!$D$10)&gt;HomePage!$D$11,HomePage!$D$11,(A29+HomePage!$D$10))))))</f>
        <v>15000</v>
      </c>
      <c r="B28" s="186">
        <f>IF(B29="","",IF((B29+1)&gt;HomePage!$D$5,"",(B29+1)))</f>
        <v>6</v>
      </c>
      <c r="H28" s="187">
        <f>IF(H34="","",FV((1+PERCENT!$E$8)^(1/12)-1,12,-A28,,1))</f>
        <v>191497.46862529853</v>
      </c>
      <c r="I28" s="187">
        <f>IF(I34="","",FV(PERCENT!$E$8,1,,-RESULT!H28,))</f>
        <v>214477.16486033436</v>
      </c>
      <c r="J28" s="187">
        <f>IF(J34="","",FV(PERCENT!$E$8,1,,-RESULT!I28,))</f>
        <v>240214.42464357452</v>
      </c>
      <c r="K28" s="187">
        <f>IF(K34="","",FV(PERCENT!$E$8,1,,-RESULT!J28,))</f>
        <v>269040.1556008035</v>
      </c>
      <c r="L28" s="187">
        <f>IF(L34="","",FV(PERCENT!$E$8,1,,-RESULT!K28,))</f>
        <v>301324.97427289997</v>
      </c>
      <c r="M28" s="187" t="str">
        <f>IF(M34="","",FV(PERCENT!$E$8,1,,-RESULT!L28,))</f>
        <v/>
      </c>
      <c r="N28" s="187" t="str">
        <f>IF(N34="","",FV(PERCENT!$E$8,1,,-RESULT!M28,))</f>
        <v/>
      </c>
      <c r="O28" s="187" t="str">
        <f>IF(O34="","",FV(PERCENT!$E$8,1,,-RESULT!N28,))</f>
        <v/>
      </c>
      <c r="P28" s="187" t="str">
        <f>IF(P34="","",FV(PERCENT!$E$8,1,,-RESULT!O28,))</f>
        <v/>
      </c>
      <c r="Q28" s="187" t="str">
        <f>IF(Q34="","",FV(PERCENT!$E$8,1,,-RESULT!P28,))</f>
        <v/>
      </c>
      <c r="R28" s="187" t="str">
        <f>IF(R34="","",FV(PERCENT!$E$8,1,,-RESULT!Q28,))</f>
        <v/>
      </c>
      <c r="S28" s="187" t="str">
        <f>IF(S34="","",FV(PERCENT!$E$8,1,,-RESULT!R28,))</f>
        <v/>
      </c>
      <c r="T28" s="187" t="str">
        <f>IF(T34="","",FV(PERCENT!$E$8,1,,-RESULT!S28,))</f>
        <v/>
      </c>
      <c r="U28" s="187" t="str">
        <f>IF(U34="","",FV(PERCENT!$E$8,1,,-RESULT!T28,))</f>
        <v/>
      </c>
      <c r="V28" s="187" t="str">
        <f>IF(V34="","",FV(PERCENT!$E$8,1,,-RESULT!U28,))</f>
        <v/>
      </c>
      <c r="W28" s="187" t="str">
        <f>IF(W34="","",FV(PERCENT!$E$8,1,,-RESULT!V28,))</f>
        <v/>
      </c>
      <c r="X28" s="187" t="str">
        <f>IF(X34="","",FV(PERCENT!$E$8,1,,-RESULT!W28,))</f>
        <v/>
      </c>
      <c r="Y28" s="187" t="str">
        <f>IF(Y34="","",FV(PERCENT!$E$8,1,,-RESULT!X28,))</f>
        <v/>
      </c>
      <c r="Z28" s="187" t="str">
        <f>IF(Z34="","",FV(PERCENT!$E$8,1,,-RESULT!Y28,))</f>
        <v/>
      </c>
      <c r="AA28" s="187" t="str">
        <f>IF(AA34="","",FV(PERCENT!$E$8,1,,-RESULT!Z28,))</f>
        <v/>
      </c>
      <c r="AB28" s="187" t="str">
        <f>IF(AB34="","",FV(PERCENT!$E$8,1,,-RESULT!AA28,))</f>
        <v/>
      </c>
      <c r="AC28" s="187" t="str">
        <f>IF(AC34="","",FV(PERCENT!$E$8,1,,-RESULT!AB28,))</f>
        <v/>
      </c>
      <c r="AD28" s="187" t="str">
        <f>IF(AD34="","",FV(PERCENT!$E$8,1,,-RESULT!AC28,))</f>
        <v/>
      </c>
      <c r="AE28" s="187" t="str">
        <f>IF(AE34="","",FV(PERCENT!$E$8,1,,-RESULT!AD28,))</f>
        <v/>
      </c>
      <c r="AF28" s="187" t="str">
        <f>IF(AF34="","",FV(PERCENT!$E$8,1,,-RESULT!AE28,))</f>
        <v/>
      </c>
      <c r="EZ28" s="158">
        <f t="shared" si="0"/>
        <v>12</v>
      </c>
    </row>
    <row r="29" spans="1:156">
      <c r="A29" s="185">
        <f>IF(B29="","",IF(ISBLANK(HomePage!$D$8),HOME,IF(HomePage!$D$8="Percentage",IF(NOT(HomePage!$D$11&gt;0),A30*(1+HomePage!$D$9),IF(A30*(1+HomePage!$D$9)&gt;HomePage!$D$11,HomePage!$D$11,A30*(1+HomePage!$D$9))),IF(NOT(HomePage!$D$11&gt;0),A30+HomePage!$D$10,IF((A30+HomePage!$D$10)&gt;HomePage!$D$11,HomePage!$D$11,(A30+HomePage!$D$10))))))</f>
        <v>14000</v>
      </c>
      <c r="B29" s="186">
        <f>IF(B30="","",IF((B30+1)&gt;HomePage!$D$5,"",(B30+1)))</f>
        <v>5</v>
      </c>
      <c r="G29" s="187">
        <f>IF(G34="","",FV((1+PERCENT!$E$8)^(1/12)-1,12,-A29,,1))</f>
        <v>178730.9707169453</v>
      </c>
      <c r="H29" s="187">
        <f>IF(H34="","",FV(PERCENT!$E$8,1,,-RESULT!G29,))</f>
        <v>200178.68720297876</v>
      </c>
      <c r="I29" s="187">
        <f>IF(I34="","",FV(PERCENT!$E$8,1,,-RESULT!H29,))</f>
        <v>224200.12966733624</v>
      </c>
      <c r="J29" s="187">
        <f>IF(J34="","",FV(PERCENT!$E$8,1,,-RESULT!I29,))</f>
        <v>251104.14522741662</v>
      </c>
      <c r="K29" s="187">
        <f>IF(K34="","",FV(PERCENT!$E$8,1,,-RESULT!J29,))</f>
        <v>281236.64265470667</v>
      </c>
      <c r="L29" s="187">
        <f>IF(L34="","",FV(PERCENT!$E$8,1,,-RESULT!K29,))</f>
        <v>314985.03977327148</v>
      </c>
      <c r="M29" s="187" t="str">
        <f>IF(M34="","",FV(PERCENT!$E$8,1,,-RESULT!L29,))</f>
        <v/>
      </c>
      <c r="N29" s="187" t="str">
        <f>IF(N34="","",FV(PERCENT!$E$8,1,,-RESULT!M29,))</f>
        <v/>
      </c>
      <c r="O29" s="187" t="str">
        <f>IF(O34="","",FV(PERCENT!$E$8,1,,-RESULT!N29,))</f>
        <v/>
      </c>
      <c r="P29" s="187" t="str">
        <f>IF(P34="","",FV(PERCENT!$E$8,1,,-RESULT!O29,))</f>
        <v/>
      </c>
      <c r="Q29" s="187" t="str">
        <f>IF(Q34="","",FV(PERCENT!$E$8,1,,-RESULT!P29,))</f>
        <v/>
      </c>
      <c r="R29" s="187" t="str">
        <f>IF(R34="","",FV(PERCENT!$E$8,1,,-RESULT!Q29,))</f>
        <v/>
      </c>
      <c r="S29" s="187" t="str">
        <f>IF(S34="","",FV(PERCENT!$E$8,1,,-RESULT!R29,))</f>
        <v/>
      </c>
      <c r="T29" s="187" t="str">
        <f>IF(T34="","",FV(PERCENT!$E$8,1,,-RESULT!S29,))</f>
        <v/>
      </c>
      <c r="U29" s="187" t="str">
        <f>IF(U34="","",FV(PERCENT!$E$8,1,,-RESULT!T29,))</f>
        <v/>
      </c>
      <c r="V29" s="187" t="str">
        <f>IF(V34="","",FV(PERCENT!$E$8,1,,-RESULT!U29,))</f>
        <v/>
      </c>
      <c r="W29" s="187" t="str">
        <f>IF(W34="","",FV(PERCENT!$E$8,1,,-RESULT!V29,))</f>
        <v/>
      </c>
      <c r="X29" s="187" t="str">
        <f>IF(X34="","",FV(PERCENT!$E$8,1,,-RESULT!W29,))</f>
        <v/>
      </c>
      <c r="Y29" s="187" t="str">
        <f>IF(Y34="","",FV(PERCENT!$E$8,1,,-RESULT!X29,))</f>
        <v/>
      </c>
      <c r="Z29" s="187" t="str">
        <f>IF(Z34="","",FV(PERCENT!$E$8,1,,-RESULT!Y29,))</f>
        <v/>
      </c>
      <c r="AA29" s="187" t="str">
        <f>IF(AA34="","",FV(PERCENT!$E$8,1,,-RESULT!Z29,))</f>
        <v/>
      </c>
      <c r="AB29" s="187" t="str">
        <f>IF(AB34="","",FV(PERCENT!$E$8,1,,-RESULT!AA29,))</f>
        <v/>
      </c>
      <c r="AC29" s="187" t="str">
        <f>IF(AC34="","",FV(PERCENT!$E$8,1,,-RESULT!AB29,))</f>
        <v/>
      </c>
      <c r="AD29" s="187" t="str">
        <f>IF(AD34="","",FV(PERCENT!$E$8,1,,-RESULT!AC29,))</f>
        <v/>
      </c>
      <c r="AE29" s="187" t="str">
        <f>IF(AE34="","",FV(PERCENT!$E$8,1,,-RESULT!AD29,))</f>
        <v/>
      </c>
      <c r="AF29" s="187" t="str">
        <f>IF(AF34="","",FV(PERCENT!$E$8,1,,-RESULT!AE29,))</f>
        <v/>
      </c>
      <c r="EZ29" s="158">
        <f t="shared" si="0"/>
        <v>12</v>
      </c>
    </row>
    <row r="30" spans="1:156">
      <c r="A30" s="185">
        <f>IF(B30="","",IF(ISBLANK(HomePage!$D$8),HOME,IF(HomePage!$D$8="Percentage",IF(NOT(HomePage!$D$11&gt;0),A31*(1+HomePage!$D$9),IF(A31*(1+HomePage!$D$9)&gt;HomePage!$D$11,HomePage!$D$11,A31*(1+HomePage!$D$9))),IF(NOT(HomePage!$D$11&gt;0),A31+HomePage!$D$10,IF((A31+HomePage!$D$10)&gt;HomePage!$D$11,HomePage!$D$11,(A31+HomePage!$D$10))))))</f>
        <v>13000</v>
      </c>
      <c r="B30" s="186">
        <f>IF(B31="","",IF((B31+1)&gt;HomePage!$D$5,"",(B31+1)))</f>
        <v>4</v>
      </c>
      <c r="F30" s="187">
        <f>IF(F34="","",FV((1+PERCENT!$E$8)^(1/12)-1,12,-A30,,1))</f>
        <v>165964.47280859205</v>
      </c>
      <c r="G30" s="187">
        <f>IF(G34="","",FV(PERCENT!$E$8,1,,-RESULT!F30,))</f>
        <v>185880.2095456231</v>
      </c>
      <c r="H30" s="187">
        <f>IF(H34="","",FV(PERCENT!$E$8,1,,-RESULT!G30,))</f>
        <v>208185.8346910979</v>
      </c>
      <c r="I30" s="187">
        <f>IF(I34="","",FV(PERCENT!$E$8,1,,-RESULT!H30,))</f>
        <v>233168.13485402966</v>
      </c>
      <c r="J30" s="187">
        <f>IF(J34="","",FV(PERCENT!$E$8,1,,-RESULT!I30,))</f>
        <v>261148.31103651325</v>
      </c>
      <c r="K30" s="187">
        <f>IF(K34="","",FV(PERCENT!$E$8,1,,-RESULT!J30,))</f>
        <v>292486.10836089484</v>
      </c>
      <c r="L30" s="187">
        <f>IF(L34="","",FV(PERCENT!$E$8,1,,-RESULT!K30,))</f>
        <v>327584.44136420224</v>
      </c>
      <c r="M30" s="187" t="str">
        <f>IF(M34="","",FV(PERCENT!$E$8,1,,-RESULT!L30,))</f>
        <v/>
      </c>
      <c r="N30" s="187" t="str">
        <f>IF(N34="","",FV(PERCENT!$E$8,1,,-RESULT!M30,))</f>
        <v/>
      </c>
      <c r="O30" s="187" t="str">
        <f>IF(O34="","",FV(PERCENT!$E$8,1,,-RESULT!N30,))</f>
        <v/>
      </c>
      <c r="P30" s="187" t="str">
        <f>IF(P34="","",FV(PERCENT!$E$8,1,,-RESULT!O30,))</f>
        <v/>
      </c>
      <c r="Q30" s="187" t="str">
        <f>IF(Q34="","",FV(PERCENT!$E$8,1,,-RESULT!P30,))</f>
        <v/>
      </c>
      <c r="R30" s="187" t="str">
        <f>IF(R34="","",FV(PERCENT!$E$8,1,,-RESULT!Q30,))</f>
        <v/>
      </c>
      <c r="S30" s="187" t="str">
        <f>IF(S34="","",FV(PERCENT!$E$8,1,,-RESULT!R30,))</f>
        <v/>
      </c>
      <c r="T30" s="187" t="str">
        <f>IF(T34="","",FV(PERCENT!$E$8,1,,-RESULT!S30,))</f>
        <v/>
      </c>
      <c r="U30" s="187" t="str">
        <f>IF(U34="","",FV(PERCENT!$E$8,1,,-RESULT!T30,))</f>
        <v/>
      </c>
      <c r="V30" s="187" t="str">
        <f>IF(V34="","",FV(PERCENT!$E$8,1,,-RESULT!U30,))</f>
        <v/>
      </c>
      <c r="W30" s="187" t="str">
        <f>IF(W34="","",FV(PERCENT!$E$8,1,,-RESULT!V30,))</f>
        <v/>
      </c>
      <c r="X30" s="187" t="str">
        <f>IF(X34="","",FV(PERCENT!$E$8,1,,-RESULT!W30,))</f>
        <v/>
      </c>
      <c r="Y30" s="187" t="str">
        <f>IF(Y34="","",FV(PERCENT!$E$8,1,,-RESULT!X30,))</f>
        <v/>
      </c>
      <c r="Z30" s="187" t="str">
        <f>IF(Z34="","",FV(PERCENT!$E$8,1,,-RESULT!Y30,))</f>
        <v/>
      </c>
      <c r="AA30" s="187" t="str">
        <f>IF(AA34="","",FV(PERCENT!$E$8,1,,-RESULT!Z30,))</f>
        <v/>
      </c>
      <c r="AB30" s="187" t="str">
        <f>IF(AB34="","",FV(PERCENT!$E$8,1,,-RESULT!AA30,))</f>
        <v/>
      </c>
      <c r="AC30" s="187" t="str">
        <f>IF(AC34="","",FV(PERCENT!$E$8,1,,-RESULT!AB30,))</f>
        <v/>
      </c>
      <c r="AD30" s="187" t="str">
        <f>IF(AD34="","",FV(PERCENT!$E$8,1,,-RESULT!AC30,))</f>
        <v/>
      </c>
      <c r="AE30" s="187" t="str">
        <f>IF(AE34="","",FV(PERCENT!$E$8,1,,-RESULT!AD30,))</f>
        <v/>
      </c>
      <c r="AF30" s="187" t="str">
        <f>IF(AF34="","",FV(PERCENT!$E$8,1,,-RESULT!AE30,))</f>
        <v/>
      </c>
      <c r="EZ30" s="158">
        <f t="shared" si="0"/>
        <v>12</v>
      </c>
    </row>
    <row r="31" spans="1:156">
      <c r="A31" s="185">
        <f>IF(B31="","",IF(ISBLANK(HomePage!$D$8),HOME,IF(HomePage!$D$8="Percentage",IF(NOT(HomePage!$D$11&gt;0),A32*(1+HomePage!$D$9),IF(A32*(1+HomePage!$D$9)&gt;HomePage!$D$11,HomePage!$D$11,A32*(1+HomePage!$D$9))),IF(NOT(HomePage!$D$11&gt;0),A32+HomePage!$D$10,IF((A32+HomePage!$D$10)&gt;HomePage!$D$11,HomePage!$D$11,(A32+HomePage!$D$10))))))</f>
        <v>12000</v>
      </c>
      <c r="B31" s="186">
        <f>IF(B32="","",IF((B32+1)&gt;HomePage!$D$5,"",(B32+1)))</f>
        <v>3</v>
      </c>
      <c r="E31" s="187">
        <f>IF(E34="","",FV((1+PERCENT!$E$8)^(1/12)-1,12,-A31,,1))</f>
        <v>153197.97490023883</v>
      </c>
      <c r="F31" s="187">
        <f>IF(F34="","",FV(PERCENT!$E$8,1,,-RESULT!E31,))</f>
        <v>171581.7318882675</v>
      </c>
      <c r="G31" s="187">
        <f>IF(G34="","",FV(PERCENT!$E$8,1,,-RESULT!F31,))</f>
        <v>192171.53971485962</v>
      </c>
      <c r="H31" s="187">
        <f>IF(H34="","",FV(PERCENT!$E$8,1,,-RESULT!G31,))</f>
        <v>215232.12448064279</v>
      </c>
      <c r="I31" s="187">
        <f>IF(I34="","",FV(PERCENT!$E$8,1,,-RESULT!H31,))</f>
        <v>241059.97941831994</v>
      </c>
      <c r="J31" s="187">
        <f>IF(J34="","",FV(PERCENT!$E$8,1,,-RESULT!I31,))</f>
        <v>269987.17694851838</v>
      </c>
      <c r="K31" s="187">
        <f>IF(K34="","",FV(PERCENT!$E$8,1,,-RESULT!J31,))</f>
        <v>302385.6381823406</v>
      </c>
      <c r="L31" s="187">
        <f>IF(L34="","",FV(PERCENT!$E$8,1,,-RESULT!K31,))</f>
        <v>338671.91476422152</v>
      </c>
      <c r="M31" s="187" t="str">
        <f>IF(M34="","",FV(PERCENT!$E$8,1,,-RESULT!L31,))</f>
        <v/>
      </c>
      <c r="N31" s="187" t="str">
        <f>IF(N34="","",FV(PERCENT!$E$8,1,,-RESULT!M31,))</f>
        <v/>
      </c>
      <c r="O31" s="187" t="str">
        <f>IF(O34="","",FV(PERCENT!$E$8,1,,-RESULT!N31,))</f>
        <v/>
      </c>
      <c r="P31" s="187" t="str">
        <f>IF(P34="","",FV(PERCENT!$E$8,1,,-RESULT!O31,))</f>
        <v/>
      </c>
      <c r="Q31" s="187" t="str">
        <f>IF(Q34="","",FV(PERCENT!$E$8,1,,-RESULT!P31,))</f>
        <v/>
      </c>
      <c r="R31" s="187" t="str">
        <f>IF(R34="","",FV(PERCENT!$E$8,1,,-RESULT!Q31,))</f>
        <v/>
      </c>
      <c r="S31" s="187" t="str">
        <f>IF(S34="","",FV(PERCENT!$E$8,1,,-RESULT!R31,))</f>
        <v/>
      </c>
      <c r="T31" s="187" t="str">
        <f>IF(T34="","",FV(PERCENT!$E$8,1,,-RESULT!S31,))</f>
        <v/>
      </c>
      <c r="U31" s="187" t="str">
        <f>IF(U34="","",FV(PERCENT!$E$8,1,,-RESULT!T31,))</f>
        <v/>
      </c>
      <c r="V31" s="187" t="str">
        <f>IF(V34="","",FV(PERCENT!$E$8,1,,-RESULT!U31,))</f>
        <v/>
      </c>
      <c r="W31" s="187" t="str">
        <f>IF(W34="","",FV(PERCENT!$E$8,1,,-RESULT!V31,))</f>
        <v/>
      </c>
      <c r="X31" s="187" t="str">
        <f>IF(X34="","",FV(PERCENT!$E$8,1,,-RESULT!W31,))</f>
        <v/>
      </c>
      <c r="Y31" s="187" t="str">
        <f>IF(Y34="","",FV(PERCENT!$E$8,1,,-RESULT!X31,))</f>
        <v/>
      </c>
      <c r="Z31" s="187" t="str">
        <f>IF(Z34="","",FV(PERCENT!$E$8,1,,-RESULT!Y31,))</f>
        <v/>
      </c>
      <c r="AA31" s="187" t="str">
        <f>IF(AA34="","",FV(PERCENT!$E$8,1,,-RESULT!Z31,))</f>
        <v/>
      </c>
      <c r="AB31" s="187" t="str">
        <f>IF(AB34="","",FV(PERCENT!$E$8,1,,-RESULT!AA31,))</f>
        <v/>
      </c>
      <c r="AC31" s="187" t="str">
        <f>IF(AC34="","",FV(PERCENT!$E$8,1,,-RESULT!AB31,))</f>
        <v/>
      </c>
      <c r="AD31" s="187" t="str">
        <f>IF(AD34="","",FV(PERCENT!$E$8,1,,-RESULT!AC31,))</f>
        <v/>
      </c>
      <c r="AE31" s="187" t="str">
        <f>IF(AE34="","",FV(PERCENT!$E$8,1,,-RESULT!AD31,))</f>
        <v/>
      </c>
      <c r="AF31" s="187" t="str">
        <f>IF(AF34="","",FV(PERCENT!$E$8,1,,-RESULT!AE31,))</f>
        <v/>
      </c>
      <c r="EZ31" s="158">
        <f t="shared" si="0"/>
        <v>12</v>
      </c>
    </row>
    <row r="32" spans="1:156">
      <c r="A32" s="185">
        <f>IF(B32="","",IF(ISBLANK(HomePage!$D$8),HOME,IF(HomePage!$D$8="Percentage",IF(NOT(HomePage!$D$11&gt;0),A33*(1+HomePage!$D$9),IF(A33*(1+HomePage!$D$9)&gt;HomePage!$D$11,HomePage!$D$11,A33*(1+HomePage!$D$9))),IF(NOT(HomePage!$D$11&gt;0),A33+HomePage!$D$10,IF((A33+HomePage!$D$10)&gt;HomePage!$D$11,HomePage!$D$11,(A33+HomePage!$D$10))))))</f>
        <v>11000</v>
      </c>
      <c r="B32" s="186">
        <f>IF(B33="","",IF((B33+1)&gt;HomePage!$D$5,"",(B33+1)))</f>
        <v>2</v>
      </c>
      <c r="D32" s="187">
        <f>IF(D34="","",FV((1+PERCENT!$E$8)^(1/12)-1,12,-A32,,1))</f>
        <v>140431.4769918856</v>
      </c>
      <c r="E32" s="187">
        <f>IF(E34="","",FV(PERCENT!$E$8,1,,-RESULT!D32,))</f>
        <v>157283.2542309119</v>
      </c>
      <c r="F32" s="187">
        <f>IF(F34="","",FV(PERCENT!$E$8,1,,-RESULT!E32,))</f>
        <v>176157.24473862135</v>
      </c>
      <c r="G32" s="187">
        <f>IF(G34="","",FV(PERCENT!$E$8,1,,-RESULT!F32,))</f>
        <v>197296.11410725594</v>
      </c>
      <c r="H32" s="187">
        <f>IF(H34="","",FV(PERCENT!$E$8,1,,-RESULT!G32,))</f>
        <v>220971.64780012667</v>
      </c>
      <c r="I32" s="187">
        <f>IF(I34="","",FV(PERCENT!$E$8,1,,-RESULT!H32,))</f>
        <v>247488.24553614188</v>
      </c>
      <c r="J32" s="187">
        <f>IF(J34="","",FV(PERCENT!$E$8,1,,-RESULT!I32,))</f>
        <v>277186.83500047895</v>
      </c>
      <c r="K32" s="187">
        <f>IF(K34="","",FV(PERCENT!$E$8,1,,-RESULT!J32,))</f>
        <v>310449.25520053646</v>
      </c>
      <c r="L32" s="187">
        <f>IF(L34="","",FV(PERCENT!$E$8,1,,-RESULT!K32,))</f>
        <v>347703.16582460084</v>
      </c>
      <c r="M32" s="187" t="str">
        <f>IF(M34="","",FV(PERCENT!$E$8,1,,-RESULT!L32,))</f>
        <v/>
      </c>
      <c r="N32" s="187" t="str">
        <f>IF(N34="","",FV(PERCENT!$E$8,1,,-RESULT!M32,))</f>
        <v/>
      </c>
      <c r="O32" s="187" t="str">
        <f>IF(O34="","",FV(PERCENT!$E$8,1,,-RESULT!N32,))</f>
        <v/>
      </c>
      <c r="P32" s="187" t="str">
        <f>IF(P34="","",FV(PERCENT!$E$8,1,,-RESULT!O32,))</f>
        <v/>
      </c>
      <c r="Q32" s="187" t="str">
        <f>IF(Q34="","",FV(PERCENT!$E$8,1,,-RESULT!P32,))</f>
        <v/>
      </c>
      <c r="R32" s="187" t="str">
        <f>IF(R34="","",FV(PERCENT!$E$8,1,,-RESULT!Q32,))</f>
        <v/>
      </c>
      <c r="S32" s="187" t="str">
        <f>IF(S34="","",FV(PERCENT!$E$8,1,,-RESULT!R32,))</f>
        <v/>
      </c>
      <c r="T32" s="187" t="str">
        <f>IF(T34="","",FV(PERCENT!$E$8,1,,-RESULT!S32,))</f>
        <v/>
      </c>
      <c r="U32" s="187" t="str">
        <f>IF(U34="","",FV(PERCENT!$E$8,1,,-RESULT!T32,))</f>
        <v/>
      </c>
      <c r="V32" s="187" t="str">
        <f>IF(V34="","",FV(PERCENT!$E$8,1,,-RESULT!U32,))</f>
        <v/>
      </c>
      <c r="W32" s="187" t="str">
        <f>IF(W34="","",FV(PERCENT!$E$8,1,,-RESULT!V32,))</f>
        <v/>
      </c>
      <c r="X32" s="187" t="str">
        <f>IF(X34="","",FV(PERCENT!$E$8,1,,-RESULT!W32,))</f>
        <v/>
      </c>
      <c r="Y32" s="187" t="str">
        <f>IF(Y34="","",FV(PERCENT!$E$8,1,,-RESULT!X32,))</f>
        <v/>
      </c>
      <c r="Z32" s="187" t="str">
        <f>IF(Z34="","",FV(PERCENT!$E$8,1,,-RESULT!Y32,))</f>
        <v/>
      </c>
      <c r="AA32" s="187" t="str">
        <f>IF(AA34="","",FV(PERCENT!$E$8,1,,-RESULT!Z32,))</f>
        <v/>
      </c>
      <c r="AB32" s="187" t="str">
        <f>IF(AB34="","",FV(PERCENT!$E$8,1,,-RESULT!AA32,))</f>
        <v/>
      </c>
      <c r="AC32" s="187" t="str">
        <f>IF(AC34="","",FV(PERCENT!$E$8,1,,-RESULT!AB32,))</f>
        <v/>
      </c>
      <c r="AD32" s="187" t="str">
        <f>IF(AD34="","",FV(PERCENT!$E$8,1,,-RESULT!AC32,))</f>
        <v/>
      </c>
      <c r="AE32" s="187" t="str">
        <f>IF(AE34="","",FV(PERCENT!$E$8,1,,-RESULT!AD32,))</f>
        <v/>
      </c>
      <c r="AF32" s="187" t="str">
        <f>IF(AF34="","",FV(PERCENT!$E$8,1,,-RESULT!AE32,))</f>
        <v/>
      </c>
      <c r="EZ32" s="158">
        <f t="shared" si="0"/>
        <v>12</v>
      </c>
    </row>
    <row r="33" spans="1:156">
      <c r="A33" s="185">
        <f>HOME</f>
        <v>10000</v>
      </c>
      <c r="B33" s="188">
        <v>1</v>
      </c>
      <c r="C33" s="187">
        <f>IF(C34="","",FV((1+PERCENT!$E$8)^(1/12)-1,12,-A33,,1))</f>
        <v>127664.97908353235</v>
      </c>
      <c r="D33" s="187">
        <f>IF(D34="","",FV(PERCENT!$E$8,1,,-RESULT!C33,))</f>
        <v>142984.77657355624</v>
      </c>
      <c r="E33" s="187">
        <f>IF(E34="","",FV(PERCENT!$E$8,1,,-RESULT!D33,))</f>
        <v>160142.94976238301</v>
      </c>
      <c r="F33" s="187">
        <f>IF(F34="","",FV(PERCENT!$E$8,1,,-RESULT!E33,))</f>
        <v>179360.10373386898</v>
      </c>
      <c r="G33" s="187">
        <f>IF(G34="","",FV(PERCENT!$E$8,1,,-RESULT!F33,))</f>
        <v>200883.31618193327</v>
      </c>
      <c r="H33" s="187">
        <f>IF(H34="","",FV(PERCENT!$E$8,1,,-RESULT!G33,))</f>
        <v>224989.31412376527</v>
      </c>
      <c r="I33" s="187">
        <f>IF(I34="","",FV(PERCENT!$E$8,1,,-RESULT!H33,))</f>
        <v>251988.03181861714</v>
      </c>
      <c r="J33" s="187">
        <f>IF(J34="","",FV(PERCENT!$E$8,1,,-RESULT!I33,))</f>
        <v>282226.59563685121</v>
      </c>
      <c r="K33" s="187">
        <f>IF(K34="","",FV(PERCENT!$E$8,1,,-RESULT!J33,))</f>
        <v>316093.7871132734</v>
      </c>
      <c r="L33" s="187">
        <f>IF(L34="","",FV(PERCENT!$E$8,1,,-RESULT!K33,))</f>
        <v>354025.04156686622</v>
      </c>
      <c r="M33" s="187" t="str">
        <f>IF(M34="","",FV(PERCENT!$E$8,1,,-RESULT!L33,))</f>
        <v/>
      </c>
      <c r="N33" s="187" t="str">
        <f>IF(N34="","",FV(PERCENT!$E$8,1,,-RESULT!M33,))</f>
        <v/>
      </c>
      <c r="O33" s="187" t="str">
        <f>IF(O34="","",FV(PERCENT!$E$8,1,,-RESULT!N33,))</f>
        <v/>
      </c>
      <c r="P33" s="187" t="str">
        <f>IF(P34="","",FV(PERCENT!$E$8,1,,-RESULT!O33,))</f>
        <v/>
      </c>
      <c r="Q33" s="187" t="str">
        <f>IF(Q34="","",FV(PERCENT!$E$8,1,,-RESULT!P33,))</f>
        <v/>
      </c>
      <c r="R33" s="187" t="str">
        <f>IF(R34="","",FV(PERCENT!$E$8,1,,-RESULT!Q33,))</f>
        <v/>
      </c>
      <c r="S33" s="187" t="str">
        <f>IF(S34="","",FV(PERCENT!$E$8,1,,-RESULT!R33,))</f>
        <v/>
      </c>
      <c r="T33" s="187" t="str">
        <f>IF(T34="","",FV(PERCENT!$E$8,1,,-RESULT!S33,))</f>
        <v/>
      </c>
      <c r="U33" s="187" t="str">
        <f>IF(U34="","",FV(PERCENT!$E$8,1,,-RESULT!T33,))</f>
        <v/>
      </c>
      <c r="V33" s="187" t="str">
        <f>IF(V34="","",FV(PERCENT!$E$8,1,,-RESULT!U33,))</f>
        <v/>
      </c>
      <c r="W33" s="187" t="str">
        <f>IF(W34="","",FV(PERCENT!$E$8,1,,-RESULT!V33,))</f>
        <v/>
      </c>
      <c r="X33" s="187" t="str">
        <f>IF(X34="","",FV(PERCENT!$E$8,1,,-RESULT!W33,))</f>
        <v/>
      </c>
      <c r="Y33" s="187" t="str">
        <f>IF(Y34="","",FV(PERCENT!$E$8,1,,-RESULT!X33,))</f>
        <v/>
      </c>
      <c r="Z33" s="187" t="str">
        <f>IF(Z34="","",FV(PERCENT!$E$8,1,,-RESULT!Y33,))</f>
        <v/>
      </c>
      <c r="AA33" s="187" t="str">
        <f>IF(AA34="","",FV(PERCENT!$E$8,1,,-RESULT!Z33,))</f>
        <v/>
      </c>
      <c r="AB33" s="187" t="str">
        <f>IF(AB34="","",FV(PERCENT!$E$8,1,,-RESULT!AA33,))</f>
        <v/>
      </c>
      <c r="AC33" s="187" t="str">
        <f>IF(AC34="","",FV(PERCENT!$E$8,1,,-RESULT!AB33,))</f>
        <v/>
      </c>
      <c r="AD33" s="187" t="str">
        <f>IF(AD34="","",FV(PERCENT!$E$8,1,,-RESULT!AC33,))</f>
        <v/>
      </c>
      <c r="AE33" s="187" t="str">
        <f>IF(AE34="","",FV(PERCENT!$E$8,1,,-RESULT!AD33,))</f>
        <v/>
      </c>
      <c r="AF33" s="187" t="str">
        <f>IF(AF34="","",FV(PERCENT!$E$8,1,,-RESULT!AE33,))</f>
        <v/>
      </c>
      <c r="EZ33" s="158">
        <f t="shared" si="0"/>
        <v>12</v>
      </c>
    </row>
    <row r="34" spans="1:156">
      <c r="A34" s="189" t="s">
        <v>406</v>
      </c>
      <c r="B34" s="190" t="s">
        <v>118</v>
      </c>
      <c r="C34" s="191">
        <v>1</v>
      </c>
      <c r="D34" s="192">
        <f>IF(C34="","",IF((C34+1)&gt;PERCENT!$E$7,"",(C34+1)))</f>
        <v>2</v>
      </c>
      <c r="E34" s="192">
        <f>IF(D34="","",IF((D34+1)&gt;PERCENT!$E$7,"",(D34+1)))</f>
        <v>3</v>
      </c>
      <c r="F34" s="192">
        <f>IF(E34="","",IF((E34+1)&gt;PERCENT!$E$7,"",(E34+1)))</f>
        <v>4</v>
      </c>
      <c r="G34" s="192">
        <f>IF(F34="","",IF((F34+1)&gt;PERCENT!$E$7,"",(F34+1)))</f>
        <v>5</v>
      </c>
      <c r="H34" s="192">
        <f>IF(G34="","",IF((G34+1)&gt;PERCENT!$E$7,"",(G34+1)))</f>
        <v>6</v>
      </c>
      <c r="I34" s="192">
        <f>IF(H34="","",IF((H34+1)&gt;PERCENT!$E$7,"",(H34+1)))</f>
        <v>7</v>
      </c>
      <c r="J34" s="192">
        <f>IF(I34="","",IF((I34+1)&gt;PERCENT!$E$7,"",(I34+1)))</f>
        <v>8</v>
      </c>
      <c r="K34" s="192">
        <f>IF(J34="","",IF((J34+1)&gt;PERCENT!$E$7,"",(J34+1)))</f>
        <v>9</v>
      </c>
      <c r="L34" s="192">
        <f>IF(K34="","",IF((K34+1)&gt;PERCENT!$E$7,"",(K34+1)))</f>
        <v>10</v>
      </c>
      <c r="M34" s="192" t="str">
        <f>IF(L34="","",IF((L34+1)&gt;PERCENT!$E$7,"",(L34+1)))</f>
        <v/>
      </c>
      <c r="N34" s="192" t="str">
        <f>IF(M34="","",IF((M34+1)&gt;PERCENT!$E$7,"",(M34+1)))</f>
        <v/>
      </c>
      <c r="O34" s="192" t="str">
        <f>IF(N34="","",IF((N34+1)&gt;PERCENT!$E$7,"",(N34+1)))</f>
        <v/>
      </c>
      <c r="P34" s="192" t="str">
        <f>IF(O34="","",IF((O34+1)&gt;PERCENT!$E$7,"",(O34+1)))</f>
        <v/>
      </c>
      <c r="Q34" s="192" t="str">
        <f>IF(P34="","",IF((P34+1)&gt;PERCENT!$E$7,"",(P34+1)))</f>
        <v/>
      </c>
      <c r="R34" s="192" t="str">
        <f>IF(Q34="","",IF((Q34+1)&gt;PERCENT!$E$7,"",(Q34+1)))</f>
        <v/>
      </c>
      <c r="S34" s="192" t="str">
        <f>IF(R34="","",IF((R34+1)&gt;PERCENT!$E$7,"",(R34+1)))</f>
        <v/>
      </c>
      <c r="T34" s="192" t="str">
        <f>IF(S34="","",IF((S34+1)&gt;PERCENT!$E$7,"",(S34+1)))</f>
        <v/>
      </c>
      <c r="U34" s="192" t="str">
        <f>IF(T34="","",IF((T34+1)&gt;PERCENT!$E$7,"",(T34+1)))</f>
        <v/>
      </c>
      <c r="V34" s="192" t="str">
        <f>IF(U34="","",IF((U34+1)&gt;PERCENT!$E$7,"",(U34+1)))</f>
        <v/>
      </c>
      <c r="W34" s="192" t="str">
        <f>IF(V34="","",IF((V34+1)&gt;PERCENT!$E$7,"",(V34+1)))</f>
        <v/>
      </c>
      <c r="X34" s="192" t="str">
        <f>IF(W34="","",IF((W34+1)&gt;PERCENT!$E$7,"",(W34+1)))</f>
        <v/>
      </c>
      <c r="Y34" s="192" t="str">
        <f>IF(X34="","",IF((X34+1)&gt;PERCENT!$E$7,"",(X34+1)))</f>
        <v/>
      </c>
      <c r="Z34" s="192" t="str">
        <f>IF(Y34="","",IF((Y34+1)&gt;PERCENT!$E$7,"",(Y34+1)))</f>
        <v/>
      </c>
      <c r="AA34" s="192" t="str">
        <f>IF(Z34="","",IF((Z34+1)&gt;PERCENT!$E$7,"",(Z34+1)))</f>
        <v/>
      </c>
      <c r="AB34" s="192" t="str">
        <f>IF(AA34="","",IF((AA34+1)&gt;PERCENT!$E$7,"",(AA34+1)))</f>
        <v/>
      </c>
      <c r="AC34" s="192" t="str">
        <f>IF(AB34="","",IF((AB34+1)&gt;PERCENT!$E$7,"",(AB34+1)))</f>
        <v/>
      </c>
      <c r="AD34" s="192" t="str">
        <f>IF(AC34="","",IF((AC34+1)&gt;PERCENT!$E$7,"",(AC34+1)))</f>
        <v/>
      </c>
      <c r="AE34" s="192" t="str">
        <f>IF(AD34="","",IF((AD34+1)&gt;PERCENT!$E$7,"",(AD34+1)))</f>
        <v/>
      </c>
      <c r="AF34" s="192" t="str">
        <f>IF(AE34="","",IF((AE34+1)&gt;PERCENT!$E$7,"",(AE34+1)))</f>
        <v/>
      </c>
    </row>
    <row r="35" spans="1:156" ht="33.75" customHeight="1">
      <c r="C35" s="193">
        <f>IF(C34="","",SUM(RESULT!C$4:C$33))</f>
        <v>127664.97908353235</v>
      </c>
      <c r="D35" s="193">
        <f>IF(D34="","",SUM(RESULT!D$4:D$33))</f>
        <v>283416.25356544182</v>
      </c>
      <c r="E35" s="193">
        <f>IF(E34="","",SUM(RESULT!E$4:E$33))</f>
        <v>470624.17889353377</v>
      </c>
      <c r="F35" s="193">
        <f>IF(F34="","",SUM(RESULT!F$4:F$33))</f>
        <v>693063.55316934991</v>
      </c>
      <c r="G35" s="193">
        <f>IF(G34="","",SUM(RESULT!G$4:G$33))</f>
        <v>954962.15026661719</v>
      </c>
      <c r="H35" s="193">
        <f>IF(H34="","",SUM(RESULT!H$4:H$33))</f>
        <v>1261055.0769239098</v>
      </c>
      <c r="I35" s="193">
        <f>IF(I34="","",SUM(RESULT!I$4:I$33))</f>
        <v>1616645.6526884309</v>
      </c>
      <c r="J35" s="193">
        <f>IF(J34="","",SUM(RESULT!J$4:J$33))</f>
        <v>2027673.5954530479</v>
      </c>
      <c r="K35" s="193">
        <f>IF(K34="","",SUM(RESULT!K$4:K$33))</f>
        <v>2500791.3892577724</v>
      </c>
      <c r="L35" s="193">
        <f>IF(L34="","",SUM(RESULT!L$4:L$33))</f>
        <v>3043449.8162274165</v>
      </c>
      <c r="M35" s="193" t="str">
        <f>IF(M34="","",SUM(RESULT!M$4:M$33))</f>
        <v/>
      </c>
      <c r="N35" s="193" t="str">
        <f>IF(N34="","",SUM(RESULT!N$4:N$33))</f>
        <v/>
      </c>
      <c r="O35" s="193" t="str">
        <f>IF(O34="","",SUM(RESULT!O$4:O$33))</f>
        <v/>
      </c>
      <c r="P35" s="193" t="str">
        <f>IF(P34="","",SUM(RESULT!P$4:P$33))</f>
        <v/>
      </c>
      <c r="Q35" s="194" t="str">
        <f>IF(Q34="","",SUM(RESULT!Q$4:Q$33))</f>
        <v/>
      </c>
      <c r="R35" s="193" t="str">
        <f>IF(R34="","",SUM(RESULT!R$4:R$33))</f>
        <v/>
      </c>
      <c r="S35" s="193" t="str">
        <f>IF(S34="","",SUM(RESULT!S$4:S$33))</f>
        <v/>
      </c>
      <c r="T35" s="193" t="str">
        <f>IF(T34="","",SUM(RESULT!T$4:T$33))</f>
        <v/>
      </c>
      <c r="U35" s="193" t="str">
        <f>IF(U34="","",SUM(RESULT!U$4:U$33))</f>
        <v/>
      </c>
      <c r="V35" s="193" t="str">
        <f>IF(V34="","",SUM(RESULT!V$4:V$33))</f>
        <v/>
      </c>
      <c r="W35" s="193" t="str">
        <f>IF(W34="","",SUM(RESULT!W$4:W$33))</f>
        <v/>
      </c>
      <c r="X35" s="193" t="str">
        <f>IF(X34="","",SUM(RESULT!X$4:X$33))</f>
        <v/>
      </c>
      <c r="Y35" s="193" t="str">
        <f>IF(Y34="","",SUM(RESULT!Y$4:Y$33))</f>
        <v/>
      </c>
      <c r="Z35" s="193" t="str">
        <f>IF(Z34="","",SUM(RESULT!Z$4:Z$33))</f>
        <v/>
      </c>
      <c r="AA35" s="193" t="str">
        <f>IF(AA34="","",SUM(RESULT!AA$4:AA$33))</f>
        <v/>
      </c>
      <c r="AB35" s="193" t="str">
        <f>IF(AB34="","",SUM(RESULT!AB$4:AB$33))</f>
        <v/>
      </c>
      <c r="AC35" s="193" t="str">
        <f>IF(AC34="","",SUM(RESULT!AC$4:AC$33))</f>
        <v/>
      </c>
      <c r="AD35" s="193" t="str">
        <f>IF(AD34="","",SUM(RESULT!AD$4:AD$33))</f>
        <v/>
      </c>
      <c r="AE35" s="193" t="str">
        <f>IF(AE34="","",SUM(RESULT!AE$4:AE$33))</f>
        <v/>
      </c>
      <c r="AF35" s="193" t="str">
        <f>IF(AF34="","",SUM(RESULT!AF$4:AF$33))</f>
        <v/>
      </c>
    </row>
    <row r="36" spans="1:156" ht="15" customHeight="1">
      <c r="C36" s="926">
        <f>HLOOKUP(PERCENT!E7,RESULT!C34:AF35,2,FALSE)</f>
        <v>3043449.8162274165</v>
      </c>
      <c r="D36" s="927"/>
      <c r="E36" s="928"/>
      <c r="F36" s="936" t="s">
        <v>407</v>
      </c>
      <c r="G36" s="937"/>
      <c r="H36" s="937"/>
      <c r="I36" s="937"/>
      <c r="J36" s="937"/>
      <c r="K36" s="937"/>
      <c r="L36" s="929">
        <f>SUMPRODUCT(A4:A33,EZ4:EZ33)</f>
        <v>1740000</v>
      </c>
      <c r="M36" s="929"/>
      <c r="N36" s="929"/>
      <c r="O36" s="930" t="s">
        <v>408</v>
      </c>
      <c r="P36" s="931"/>
      <c r="Q36" s="932"/>
    </row>
    <row r="37" spans="1:156" ht="15.75" customHeight="1">
      <c r="C37" s="926"/>
      <c r="D37" s="927"/>
      <c r="E37" s="928"/>
      <c r="F37" s="936"/>
      <c r="G37" s="937"/>
      <c r="H37" s="937"/>
      <c r="I37" s="937"/>
      <c r="J37" s="937"/>
      <c r="K37" s="937"/>
      <c r="L37" s="929"/>
      <c r="M37" s="929"/>
      <c r="N37" s="929"/>
      <c r="O37" s="933"/>
      <c r="P37" s="934"/>
      <c r="Q37" s="935"/>
    </row>
    <row r="38" spans="1:156" ht="14.55" customHeight="1">
      <c r="C38" s="938">
        <f>FV((1+PERCENT!E8)^(1/12)-1,PERCENT!E7*12,-PERCENT!E6,,1)</f>
        <v>2240358.8955946616</v>
      </c>
      <c r="D38" s="939"/>
      <c r="E38" s="940"/>
      <c r="F38" s="937" t="s">
        <v>409</v>
      </c>
      <c r="G38" s="937"/>
      <c r="H38" s="937"/>
      <c r="I38" s="937"/>
      <c r="J38" s="937"/>
      <c r="K38" s="937"/>
      <c r="L38" s="938">
        <f>PERCENT!E6*PERCENT!E7*12</f>
        <v>1200000</v>
      </c>
      <c r="M38" s="939"/>
      <c r="N38" s="940"/>
      <c r="O38" s="930" t="s">
        <v>410</v>
      </c>
      <c r="P38" s="931"/>
      <c r="Q38" s="932"/>
    </row>
    <row r="39" spans="1:156" ht="14.55" customHeight="1">
      <c r="C39" s="941"/>
      <c r="D39" s="942"/>
      <c r="E39" s="943"/>
      <c r="F39" s="937"/>
      <c r="G39" s="937"/>
      <c r="H39" s="937"/>
      <c r="I39" s="937"/>
      <c r="J39" s="937"/>
      <c r="K39" s="937"/>
      <c r="L39" s="941"/>
      <c r="M39" s="942"/>
      <c r="N39" s="943"/>
      <c r="O39" s="933"/>
      <c r="P39" s="934"/>
      <c r="Q39" s="935"/>
    </row>
  </sheetData>
  <sheetProtection algorithmName="SHA-512" hashValue="R/UoQb6wgCeVbuIciMkK7J6YcpLNzhvc4T/ivwHPKN4ODvYHmy5q3RBTcmUzrL8DSpxmynxtQaQOkAF2scFVNw==" saltValue="mQpvC20SKaN20OeoheazXA==" spinCount="100000" sheet="1" objects="1" formatColumns="0"/>
  <mergeCells count="8">
    <mergeCell ref="C36:E37"/>
    <mergeCell ref="L36:N37"/>
    <mergeCell ref="O36:Q37"/>
    <mergeCell ref="F36:K37"/>
    <mergeCell ref="C38:E39"/>
    <mergeCell ref="L38:N39"/>
    <mergeCell ref="O38:Q39"/>
    <mergeCell ref="F38:K39"/>
  </mergeCells>
  <conditionalFormatting sqref="AF4">
    <cfRule type="notContainsBlanks" dxfId="46" priority="1">
      <formula>LEN(TRIM(AF4))&gt;0</formula>
    </cfRule>
  </conditionalFormatting>
  <conditionalFormatting sqref="AE5">
    <cfRule type="notContainsBlanks" dxfId="45" priority="3">
      <formula>LEN(TRIM(AE5))&gt;0</formula>
    </cfRule>
  </conditionalFormatting>
  <conditionalFormatting sqref="AF5">
    <cfRule type="notContainsBlanks" dxfId="44" priority="2">
      <formula>LEN(TRIM(AF5))&gt;0</formula>
    </cfRule>
  </conditionalFormatting>
  <conditionalFormatting sqref="AD6">
    <cfRule type="notContainsBlanks" dxfId="43" priority="5">
      <formula>LEN(TRIM(AD6))&gt;0</formula>
    </cfRule>
  </conditionalFormatting>
  <conditionalFormatting sqref="AE6:AF6">
    <cfRule type="notContainsBlanks" dxfId="42" priority="4">
      <formula>LEN(TRIM(AE6))&gt;0</formula>
    </cfRule>
  </conditionalFormatting>
  <conditionalFormatting sqref="AC7">
    <cfRule type="notContainsBlanks" dxfId="41" priority="7">
      <formula>LEN(TRIM(AC7))&gt;0</formula>
    </cfRule>
  </conditionalFormatting>
  <conditionalFormatting sqref="AD7:AF7">
    <cfRule type="notContainsBlanks" dxfId="40" priority="6">
      <formula>LEN(TRIM(AD7))&gt;0</formula>
    </cfRule>
  </conditionalFormatting>
  <conditionalFormatting sqref="AB8">
    <cfRule type="notContainsBlanks" dxfId="39" priority="9">
      <formula>LEN(TRIM(AB8))&gt;0</formula>
    </cfRule>
  </conditionalFormatting>
  <conditionalFormatting sqref="AC8:AF8">
    <cfRule type="notContainsBlanks" dxfId="38" priority="8">
      <formula>LEN(TRIM(AC8))&gt;0</formula>
    </cfRule>
  </conditionalFormatting>
  <conditionalFormatting sqref="AA9">
    <cfRule type="notContainsBlanks" dxfId="37" priority="11">
      <formula>LEN(TRIM(AA9))&gt;0</formula>
    </cfRule>
  </conditionalFormatting>
  <conditionalFormatting sqref="AB9:AF9">
    <cfRule type="notContainsBlanks" dxfId="36" priority="10">
      <formula>LEN(TRIM(AB9))&gt;0</formula>
    </cfRule>
  </conditionalFormatting>
  <conditionalFormatting sqref="Z10">
    <cfRule type="notContainsBlanks" dxfId="35" priority="13">
      <formula>LEN(TRIM(Z10))&gt;0</formula>
    </cfRule>
  </conditionalFormatting>
  <conditionalFormatting sqref="AA10:AF10">
    <cfRule type="notContainsBlanks" dxfId="34" priority="12">
      <formula>LEN(TRIM(AA10))&gt;0</formula>
    </cfRule>
  </conditionalFormatting>
  <conditionalFormatting sqref="Y11">
    <cfRule type="notContainsBlanks" dxfId="33" priority="15">
      <formula>LEN(TRIM(Y11))&gt;0</formula>
    </cfRule>
  </conditionalFormatting>
  <conditionalFormatting sqref="Z11:AF11">
    <cfRule type="notContainsBlanks" dxfId="32" priority="14">
      <formula>LEN(TRIM(Z11))&gt;0</formula>
    </cfRule>
  </conditionalFormatting>
  <conditionalFormatting sqref="X12">
    <cfRule type="notContainsBlanks" dxfId="31" priority="17">
      <formula>LEN(TRIM(X12))&gt;0</formula>
    </cfRule>
  </conditionalFormatting>
  <conditionalFormatting sqref="Y12:AF12">
    <cfRule type="notContainsBlanks" dxfId="30" priority="16">
      <formula>LEN(TRIM(Y12))&gt;0</formula>
    </cfRule>
  </conditionalFormatting>
  <conditionalFormatting sqref="W13">
    <cfRule type="notContainsBlanks" dxfId="29" priority="19">
      <formula>LEN(TRIM(W13))&gt;0</formula>
    </cfRule>
  </conditionalFormatting>
  <conditionalFormatting sqref="X13:AF13">
    <cfRule type="notContainsBlanks" dxfId="28" priority="18">
      <formula>LEN(TRIM(X13))&gt;0</formula>
    </cfRule>
  </conditionalFormatting>
  <conditionalFormatting sqref="V14">
    <cfRule type="notContainsBlanks" dxfId="27" priority="21">
      <formula>LEN(TRIM(V14))&gt;0</formula>
    </cfRule>
  </conditionalFormatting>
  <conditionalFormatting sqref="W14:AF14">
    <cfRule type="notContainsBlanks" dxfId="26" priority="20">
      <formula>LEN(TRIM(W14))&gt;0</formula>
    </cfRule>
  </conditionalFormatting>
  <conditionalFormatting sqref="U15">
    <cfRule type="notContainsBlanks" dxfId="25" priority="23">
      <formula>LEN(TRIM(U15))&gt;0</formula>
    </cfRule>
  </conditionalFormatting>
  <conditionalFormatting sqref="V15:AF15">
    <cfRule type="notContainsBlanks" dxfId="24" priority="22">
      <formula>LEN(TRIM(V15))&gt;0</formula>
    </cfRule>
  </conditionalFormatting>
  <conditionalFormatting sqref="T16">
    <cfRule type="notContainsBlanks" dxfId="23" priority="25">
      <formula>LEN(TRIM(T16))&gt;0</formula>
    </cfRule>
  </conditionalFormatting>
  <conditionalFormatting sqref="U16:AF16">
    <cfRule type="notContainsBlanks" dxfId="22" priority="24">
      <formula>LEN(TRIM(U16))&gt;0</formula>
    </cfRule>
  </conditionalFormatting>
  <conditionalFormatting sqref="S17">
    <cfRule type="notContainsBlanks" dxfId="21" priority="26">
      <formula>LEN(TRIM(S17))&gt;0</formula>
    </cfRule>
  </conditionalFormatting>
  <conditionalFormatting sqref="R18">
    <cfRule type="notContainsBlanks" dxfId="20" priority="27">
      <formula>LEN(TRIM(R18))&gt;0</formula>
    </cfRule>
  </conditionalFormatting>
  <conditionalFormatting sqref="C35:AF35">
    <cfRule type="notContainsBlanks" dxfId="19" priority="28">
      <formula>LEN(TRIM(C35))&gt;0</formula>
    </cfRule>
  </conditionalFormatting>
  <conditionalFormatting sqref="S18:AF18 C19:AF33 T17:AF17">
    <cfRule type="notContainsBlanks" dxfId="18" priority="29">
      <formula>LEN(TRIM(C17))&gt;0</formula>
    </cfRule>
  </conditionalFormatting>
  <pageMargins left="0.7" right="0.7" top="0.75" bottom="0.75" header="0.3" footer="0.3"/>
  <pageSetup paperSize="9" scale="72" orientation="landscape"/>
  <colBreaks count="1" manualBreakCount="1">
    <brk id="17" max="1048575" man="1"/>
  </colBreaks>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T18"/>
  <sheetViews>
    <sheetView showGridLines="0" workbookViewId="0">
      <selection sqref="A1:A3"/>
    </sheetView>
  </sheetViews>
  <sheetFormatPr defaultColWidth="8.6640625" defaultRowHeight="14.4"/>
  <cols>
    <col min="1" max="1" width="10.21875" style="158" customWidth="1"/>
    <col min="2" max="2" width="12.33203125" style="158" customWidth="1"/>
    <col min="3" max="3" width="13.88671875" style="158" customWidth="1"/>
    <col min="4" max="4" width="14.21875" style="158" customWidth="1"/>
    <col min="5" max="5" width="11.6640625" style="158" customWidth="1"/>
    <col min="6" max="6" width="8.6640625" style="158" customWidth="1"/>
    <col min="7" max="12" width="8.6640625" style="158"/>
    <col min="13" max="13" width="8.6640625" style="158" customWidth="1"/>
    <col min="14" max="14" width="4.5546875" style="159" customWidth="1"/>
    <col min="15" max="15" width="9.88671875" style="158" customWidth="1"/>
    <col min="16" max="16" width="10.21875" style="158" customWidth="1"/>
    <col min="17" max="17" width="1.33203125" style="158" customWidth="1"/>
    <col min="18" max="18" width="4.5546875" style="159" customWidth="1"/>
    <col min="19" max="19" width="9.88671875" style="158" customWidth="1"/>
    <col min="20" max="20" width="10.21875" style="158" customWidth="1"/>
    <col min="21" max="16384" width="8.6640625" style="158"/>
  </cols>
  <sheetData>
    <row r="1" spans="1:20" s="157" customFormat="1" ht="20.100000000000001" customHeight="1">
      <c r="A1" s="945"/>
      <c r="N1" s="160"/>
      <c r="R1" s="160"/>
    </row>
    <row r="2" spans="1:20" s="157" customFormat="1" ht="20.100000000000001" customHeight="1">
      <c r="A2" s="945"/>
      <c r="B2" s="161" t="s">
        <v>48</v>
      </c>
      <c r="C2" s="162" t="s">
        <v>411</v>
      </c>
      <c r="D2" s="163" t="s">
        <v>411</v>
      </c>
      <c r="N2" s="160"/>
      <c r="O2" s="944" t="s">
        <v>412</v>
      </c>
      <c r="P2" s="944"/>
      <c r="R2" s="160"/>
      <c r="S2" s="944" t="s">
        <v>412</v>
      </c>
      <c r="T2" s="944"/>
    </row>
    <row r="3" spans="1:20" s="157" customFormat="1" ht="20.100000000000001" customHeight="1">
      <c r="A3" s="945"/>
      <c r="B3" s="164" t="s">
        <v>413</v>
      </c>
      <c r="C3" s="165" t="s">
        <v>414</v>
      </c>
      <c r="D3" s="166" t="s">
        <v>415</v>
      </c>
      <c r="E3" s="167"/>
      <c r="N3" s="178" t="s">
        <v>416</v>
      </c>
      <c r="O3" s="179" t="s">
        <v>417</v>
      </c>
      <c r="P3" s="180" t="s">
        <v>418</v>
      </c>
      <c r="R3" s="178" t="s">
        <v>416</v>
      </c>
      <c r="S3" s="179" t="s">
        <v>417</v>
      </c>
      <c r="T3" s="180" t="s">
        <v>418</v>
      </c>
    </row>
    <row r="4" spans="1:20" s="157" customFormat="1" ht="20.100000000000001" customHeight="1">
      <c r="A4" s="946" t="s">
        <v>419</v>
      </c>
      <c r="B4" s="168" t="s">
        <v>418</v>
      </c>
      <c r="C4" s="169">
        <f>RESULT!L36</f>
        <v>1740000</v>
      </c>
      <c r="D4" s="169">
        <f>RESULT!C36</f>
        <v>3043449.8162274165</v>
      </c>
      <c r="E4" s="170"/>
      <c r="N4" s="181">
        <v>1</v>
      </c>
      <c r="O4" s="169">
        <f>IF(N4="","",HomePage!HOME)</f>
        <v>10000</v>
      </c>
      <c r="P4" s="169">
        <f>INDEX(RESULT!$A$4:$B$33,MATCH(ANALYSIS!N4,RESULT!$B$4:$B$33,0),1)</f>
        <v>10000</v>
      </c>
      <c r="R4" s="182" t="str">
        <f>IF(N18="","",IF(N18+1&gt;HomePage!$D$5,"",N18+1))</f>
        <v/>
      </c>
      <c r="S4" s="169" t="str">
        <f>IF(R4="","",HomePage!HOME)</f>
        <v/>
      </c>
      <c r="T4" s="169" t="str">
        <f>INDEX(RESULT!$A$4:$B$33,MATCH(ANALYSIS!R4,RESULT!$B$4:$B$33,0),1)</f>
        <v/>
      </c>
    </row>
    <row r="5" spans="1:20" s="157" customFormat="1" ht="20.100000000000001" customHeight="1">
      <c r="A5" s="946"/>
      <c r="B5" s="168" t="s">
        <v>417</v>
      </c>
      <c r="C5" s="171">
        <f>RESULT!L38</f>
        <v>1200000</v>
      </c>
      <c r="D5" s="171">
        <f>RESULT!C38</f>
        <v>2240358.8955946616</v>
      </c>
      <c r="E5" s="170"/>
      <c r="N5" s="182">
        <f>IF(N4="","",IF(N4+1&gt;HomePage!$D$5,"",N4+1))</f>
        <v>2</v>
      </c>
      <c r="O5" s="169">
        <f>IF(N5="","",HomePage!HOME)</f>
        <v>10000</v>
      </c>
      <c r="P5" s="169">
        <f>INDEX(RESULT!$A$4:$B$33,MATCH(ANALYSIS!N5,RESULT!$B$4:$B$33,0),1)</f>
        <v>11000</v>
      </c>
      <c r="R5" s="182" t="str">
        <f>IF(R4="","",IF(R4+1&gt;HomePage!$D$5,"",R4+1))</f>
        <v/>
      </c>
      <c r="S5" s="169" t="str">
        <f>IF(R5="","",HomePage!HOME)</f>
        <v/>
      </c>
      <c r="T5" s="169" t="str">
        <f>INDEX(RESULT!$A$4:$B$33,MATCH(ANALYSIS!R5,RESULT!$B$4:$B$33,0),1)</f>
        <v/>
      </c>
    </row>
    <row r="6" spans="1:20" s="157" customFormat="1" ht="20.100000000000001" customHeight="1">
      <c r="A6" s="946"/>
      <c r="B6" s="172" t="s">
        <v>420</v>
      </c>
      <c r="C6" s="173">
        <f>C4-C5</f>
        <v>540000</v>
      </c>
      <c r="D6" s="173">
        <f>D4-D5</f>
        <v>803090.92063275492</v>
      </c>
      <c r="N6" s="182">
        <f>IF(N5="","",IF(N5+1&gt;HomePage!$D$5,"",N5+1))</f>
        <v>3</v>
      </c>
      <c r="O6" s="169">
        <f>IF(N6="","",HomePage!HOME)</f>
        <v>10000</v>
      </c>
      <c r="P6" s="169">
        <f>INDEX(RESULT!$A$4:$B$33,MATCH(ANALYSIS!N6,RESULT!$B$4:$B$33,0),1)</f>
        <v>12000</v>
      </c>
      <c r="R6" s="182" t="str">
        <f>IF(R5="","",IF(R5+1&gt;HomePage!$D$5,"",R5+1))</f>
        <v/>
      </c>
      <c r="S6" s="169" t="str">
        <f>IF(R6="","",HomePage!HOME)</f>
        <v/>
      </c>
      <c r="T6" s="169" t="str">
        <f>INDEX(RESULT!$A$4:$B$33,MATCH(ANALYSIS!R6,RESULT!$B$4:$B$33,0),1)</f>
        <v/>
      </c>
    </row>
    <row r="7" spans="1:20" s="157" customFormat="1" ht="20.100000000000001" customHeight="1">
      <c r="N7" s="182">
        <f>IF(N6="","",IF(N6+1&gt;HomePage!$D$5,"",N6+1))</f>
        <v>4</v>
      </c>
      <c r="O7" s="169">
        <f>IF(N7="","",HomePage!HOME)</f>
        <v>10000</v>
      </c>
      <c r="P7" s="169">
        <f>INDEX(RESULT!$A$4:$B$33,MATCH(ANALYSIS!N7,RESULT!$B$4:$B$33,0),1)</f>
        <v>13000</v>
      </c>
      <c r="R7" s="182" t="str">
        <f>IF(R6="","",IF(R6+1&gt;HomePage!$D$5,"",R6+1))</f>
        <v/>
      </c>
      <c r="S7" s="169" t="str">
        <f>IF(R7="","",HomePage!HOME)</f>
        <v/>
      </c>
      <c r="T7" s="169" t="str">
        <f>INDEX(RESULT!$A$4:$B$33,MATCH(ANALYSIS!R7,RESULT!$B$4:$B$33,0),1)</f>
        <v/>
      </c>
    </row>
    <row r="8" spans="1:20" s="157" customFormat="1" ht="20.100000000000001" customHeight="1">
      <c r="A8" s="948" t="str">
        <f>"By investing Rs. "&amp;TEXT(C6,"##,#")&amp;" extra over a period of "&amp;H16&amp;" years, you accumulate extra wealth of amount Rs. "&amp;TEXT(D6,"##,#")</f>
        <v>By investing Rs. 5,40,000 extra over a period of 10 years, you accumulate extra wealth of amount Rs. 8,03,091</v>
      </c>
      <c r="B8" s="949"/>
      <c r="C8" s="949"/>
      <c r="D8" s="950"/>
      <c r="E8" s="174"/>
      <c r="N8" s="182">
        <f>IF(N7="","",IF(N7+1&gt;HomePage!$D$5,"",N7+1))</f>
        <v>5</v>
      </c>
      <c r="O8" s="169">
        <f>IF(N8="","",HomePage!HOME)</f>
        <v>10000</v>
      </c>
      <c r="P8" s="169">
        <f>INDEX(RESULT!$A$4:$B$33,MATCH(ANALYSIS!N8,RESULT!$B$4:$B$33,0),1)</f>
        <v>14000</v>
      </c>
      <c r="R8" s="182" t="str">
        <f>IF(R7="","",IF(R7+1&gt;HomePage!$D$5,"",R7+1))</f>
        <v/>
      </c>
      <c r="S8" s="169" t="str">
        <f>IF(R8="","",HomePage!HOME)</f>
        <v/>
      </c>
      <c r="T8" s="169" t="str">
        <f>INDEX(RESULT!$A$4:$B$33,MATCH(ANALYSIS!R8,RESULT!$B$4:$B$33,0),1)</f>
        <v/>
      </c>
    </row>
    <row r="9" spans="1:20" s="157" customFormat="1" ht="20.100000000000001" customHeight="1">
      <c r="A9" s="951"/>
      <c r="B9" s="952"/>
      <c r="C9" s="952"/>
      <c r="D9" s="953"/>
      <c r="E9" s="174"/>
      <c r="N9" s="182">
        <f>IF(N8="","",IF(N8+1&gt;HomePage!$D$5,"",N8+1))</f>
        <v>6</v>
      </c>
      <c r="O9" s="169">
        <f>IF(N9="","",HomePage!HOME)</f>
        <v>10000</v>
      </c>
      <c r="P9" s="169">
        <f>INDEX(RESULT!$A$4:$B$33,MATCH(ANALYSIS!N9,RESULT!$B$4:$B$33,0),1)</f>
        <v>15000</v>
      </c>
      <c r="R9" s="182" t="str">
        <f>IF(R8="","",IF(R8+1&gt;HomePage!$D$5,"",R8+1))</f>
        <v/>
      </c>
      <c r="S9" s="169" t="str">
        <f>IF(R9="","",HomePage!HOME)</f>
        <v/>
      </c>
      <c r="T9" s="169" t="str">
        <f>INDEX(RESULT!$A$4:$B$33,MATCH(ANALYSIS!R9,RESULT!$B$4:$B$33,0),1)</f>
        <v/>
      </c>
    </row>
    <row r="10" spans="1:20" s="157" customFormat="1" ht="20.100000000000001" customHeight="1">
      <c r="A10" s="954"/>
      <c r="B10" s="955"/>
      <c r="C10" s="955"/>
      <c r="D10" s="956"/>
      <c r="E10" s="174"/>
      <c r="N10" s="182">
        <f>IF(N9="","",IF(N9+1&gt;HomePage!$D$5,"",N9+1))</f>
        <v>7</v>
      </c>
      <c r="O10" s="169">
        <f>IF(N10="","",HomePage!HOME)</f>
        <v>10000</v>
      </c>
      <c r="P10" s="169">
        <f>INDEX(RESULT!$A$4:$B$33,MATCH(ANALYSIS!N10,RESULT!$B$4:$B$33,0),1)</f>
        <v>16000</v>
      </c>
      <c r="R10" s="182" t="str">
        <f>IF(R9="","",IF(R9+1&gt;HomePage!$D$5,"",R9+1))</f>
        <v/>
      </c>
      <c r="S10" s="169" t="str">
        <f>IF(R10="","",HomePage!HOME)</f>
        <v/>
      </c>
      <c r="T10" s="169" t="str">
        <f>INDEX(RESULT!$A$4:$B$33,MATCH(ANALYSIS!R10,RESULT!$B$4:$B$33,0),1)</f>
        <v/>
      </c>
    </row>
    <row r="11" spans="1:20" s="157" customFormat="1" ht="20.100000000000001" customHeight="1">
      <c r="N11" s="182">
        <f>IF(N10="","",IF(N10+1&gt;HomePage!$D$5,"",N10+1))</f>
        <v>8</v>
      </c>
      <c r="O11" s="169">
        <f>IF(N11="","",HomePage!HOME)</f>
        <v>10000</v>
      </c>
      <c r="P11" s="169">
        <f>INDEX(RESULT!$A$4:$B$33,MATCH(ANALYSIS!N11,RESULT!$B$4:$B$33,0),1)</f>
        <v>17000</v>
      </c>
      <c r="R11" s="182" t="str">
        <f>IF(R10="","",IF(R10+1&gt;HomePage!$D$5,"",R10+1))</f>
        <v/>
      </c>
      <c r="S11" s="169" t="str">
        <f>IF(R11="","",HomePage!HOME)</f>
        <v/>
      </c>
      <c r="T11" s="169" t="str">
        <f>INDEX(RESULT!$A$4:$B$33,MATCH(ANALYSIS!R11,RESULT!$B$4:$B$33,0),1)</f>
        <v/>
      </c>
    </row>
    <row r="12" spans="1:20" s="157" customFormat="1" ht="20.100000000000001" customHeight="1">
      <c r="A12" s="947" t="s">
        <v>421</v>
      </c>
      <c r="B12" s="947"/>
      <c r="C12" s="947"/>
      <c r="D12" s="947"/>
      <c r="N12" s="182">
        <f>IF(N11="","",IF(N11+1&gt;HomePage!$D$5,"",N11+1))</f>
        <v>9</v>
      </c>
      <c r="O12" s="169">
        <f>IF(N12="","",HomePage!HOME)</f>
        <v>10000</v>
      </c>
      <c r="P12" s="169">
        <f>INDEX(RESULT!$A$4:$B$33,MATCH(ANALYSIS!N12,RESULT!$B$4:$B$33,0),1)</f>
        <v>18000</v>
      </c>
      <c r="R12" s="182" t="str">
        <f>IF(R11="","",IF(R11+1&gt;HomePage!$D$5,"",R11+1))</f>
        <v/>
      </c>
      <c r="S12" s="169" t="str">
        <f>IF(R12="","",HomePage!HOME)</f>
        <v/>
      </c>
      <c r="T12" s="169" t="str">
        <f>INDEX(RESULT!$A$4:$B$33,MATCH(ANALYSIS!R12,RESULT!$B$4:$B$33,0),1)</f>
        <v/>
      </c>
    </row>
    <row r="13" spans="1:20" s="157" customFormat="1" ht="20.100000000000001" customHeight="1">
      <c r="A13" s="947"/>
      <c r="B13" s="947"/>
      <c r="C13" s="947"/>
      <c r="D13" s="947"/>
      <c r="N13" s="182">
        <f>IF(N12="","",IF(N12+1&gt;HomePage!$D$5,"",N12+1))</f>
        <v>10</v>
      </c>
      <c r="O13" s="169">
        <f>IF(N13="","",HomePage!HOME)</f>
        <v>10000</v>
      </c>
      <c r="P13" s="169">
        <f>INDEX(RESULT!$A$4:$B$33,MATCH(ANALYSIS!N13,RESULT!$B$4:$B$33,0),1)</f>
        <v>19000</v>
      </c>
      <c r="R13" s="182" t="str">
        <f>IF(R12="","",IF(R12+1&gt;HomePage!$D$5,"",R12+1))</f>
        <v/>
      </c>
      <c r="S13" s="169" t="str">
        <f>IF(R13="","",HomePage!HOME)</f>
        <v/>
      </c>
      <c r="T13" s="169" t="str">
        <f>INDEX(RESULT!$A$4:$B$33,MATCH(ANALYSIS!R13,RESULT!$B$4:$B$33,0),1)</f>
        <v/>
      </c>
    </row>
    <row r="14" spans="1:20" s="157" customFormat="1" ht="20.100000000000001" customHeight="1">
      <c r="A14" s="947"/>
      <c r="B14" s="947"/>
      <c r="C14" s="947"/>
      <c r="D14" s="947"/>
      <c r="N14" s="182" t="str">
        <f>IF(N13="","",IF(N13+1&gt;HomePage!$D$5,"",N13+1))</f>
        <v/>
      </c>
      <c r="O14" s="169" t="str">
        <f>IF(N14="","",HomePage!HOME)</f>
        <v/>
      </c>
      <c r="P14" s="169" t="str">
        <f>INDEX(RESULT!$A$4:$B$33,MATCH(ANALYSIS!N14,RESULT!$B$4:$B$33,0),1)</f>
        <v/>
      </c>
      <c r="R14" s="182" t="str">
        <f>IF(R13="","",IF(R13+1&gt;HomePage!$D$5,"",R13+1))</f>
        <v/>
      </c>
      <c r="S14" s="169" t="str">
        <f>IF(R14="","",HomePage!HOME)</f>
        <v/>
      </c>
      <c r="T14" s="169" t="str">
        <f>INDEX(RESULT!$A$4:$B$33,MATCH(ANALYSIS!R14,RESULT!$B$4:$B$33,0),1)</f>
        <v/>
      </c>
    </row>
    <row r="15" spans="1:20" s="157" customFormat="1" ht="20.100000000000001" customHeight="1">
      <c r="A15" s="947"/>
      <c r="B15" s="947"/>
      <c r="C15" s="947"/>
      <c r="D15" s="947"/>
      <c r="F15" s="175" t="s">
        <v>422</v>
      </c>
      <c r="G15" s="176"/>
      <c r="H15" s="177">
        <f>HOME</f>
        <v>10000</v>
      </c>
      <c r="J15" s="175" t="s">
        <v>423</v>
      </c>
      <c r="K15" s="176"/>
      <c r="L15" s="183">
        <f>HomePage!D6</f>
        <v>0.12</v>
      </c>
      <c r="N15" s="182" t="str">
        <f>IF(N14="","",IF(N14+1&gt;HomePage!$D$5,"",N14+1))</f>
        <v/>
      </c>
      <c r="O15" s="169" t="str">
        <f>IF(N15="","",HomePage!HOME)</f>
        <v/>
      </c>
      <c r="P15" s="169" t="str">
        <f>INDEX(RESULT!$A$4:$B$33,MATCH(ANALYSIS!N15,RESULT!$B$4:$B$33,0),1)</f>
        <v/>
      </c>
      <c r="R15" s="182" t="str">
        <f>IF(R14="","",IF(R14+1&gt;HomePage!$D$5,"",R14+1))</f>
        <v/>
      </c>
      <c r="S15" s="169" t="str">
        <f>IF(R15="","",HomePage!HOME)</f>
        <v/>
      </c>
      <c r="T15" s="169" t="str">
        <f>INDEX(RESULT!$A$4:$B$33,MATCH(ANALYSIS!R15,RESULT!$B$4:$B$33,0),1)</f>
        <v/>
      </c>
    </row>
    <row r="16" spans="1:20" s="157" customFormat="1" ht="20.100000000000001" customHeight="1">
      <c r="A16" s="947"/>
      <c r="B16" s="947"/>
      <c r="C16" s="947"/>
      <c r="D16" s="947"/>
      <c r="F16" s="175" t="s">
        <v>424</v>
      </c>
      <c r="G16" s="176"/>
      <c r="H16" s="169">
        <f>HomePage!D5</f>
        <v>10</v>
      </c>
      <c r="J16" s="184" t="str">
        <f>IF(HomePage!D8="Percentage","Step-Up %","")</f>
        <v/>
      </c>
      <c r="K16" s="176"/>
      <c r="L16" s="183" t="str">
        <f>IF(HomePage!D8="Percentage",HomePage!D9,"")</f>
        <v/>
      </c>
      <c r="N16" s="182" t="str">
        <f>IF(N15="","",IF(N15+1&gt;HomePage!$D$5,"",N15+1))</f>
        <v/>
      </c>
      <c r="O16" s="169" t="str">
        <f>IF(N16="","",HomePage!HOME)</f>
        <v/>
      </c>
      <c r="P16" s="169" t="str">
        <f>INDEX(RESULT!$A$4:$B$33,MATCH(ANALYSIS!N16,RESULT!$B$4:$B$33,0),1)</f>
        <v/>
      </c>
      <c r="R16" s="182" t="str">
        <f>IF(R15="","",IF(R15+1&gt;HomePage!$D$5,"",R15+1))</f>
        <v/>
      </c>
      <c r="S16" s="169" t="str">
        <f>IF(R16="","",HomePage!HOME)</f>
        <v/>
      </c>
      <c r="T16" s="169" t="str">
        <f>INDEX(RESULT!$A$4:$B$33,MATCH(ANALYSIS!R16,RESULT!$B$4:$B$33,0),1)</f>
        <v/>
      </c>
    </row>
    <row r="17" spans="1:20" s="157" customFormat="1" ht="20.100000000000001" customHeight="1">
      <c r="A17" s="947"/>
      <c r="B17" s="947"/>
      <c r="C17" s="947"/>
      <c r="D17" s="947"/>
      <c r="F17" s="175" t="s">
        <v>425</v>
      </c>
      <c r="G17" s="176"/>
      <c r="H17" s="177">
        <f>HomePage!D11</f>
        <v>30000</v>
      </c>
      <c r="J17" s="184" t="str">
        <f>IF(HomePage!D8="Amount","Step-Up Amount","")</f>
        <v>Step-Up Amount</v>
      </c>
      <c r="K17" s="176"/>
      <c r="L17" s="169">
        <f>IF(HomePage!D8="Amount",HomePage!D10,"")</f>
        <v>1000</v>
      </c>
      <c r="N17" s="182" t="str">
        <f>IF(N16="","",IF(N16+1&gt;HomePage!$D$5,"",N16+1))</f>
        <v/>
      </c>
      <c r="O17" s="169" t="str">
        <f>IF(N17="","",HomePage!HOME)</f>
        <v/>
      </c>
      <c r="P17" s="169" t="str">
        <f>INDEX(RESULT!$A$4:$B$33,MATCH(ANALYSIS!N17,RESULT!$B$4:$B$33,0),1)</f>
        <v/>
      </c>
      <c r="R17" s="182" t="str">
        <f>IF(R16="","",IF(R16+1&gt;HomePage!$D$5,"",R16+1))</f>
        <v/>
      </c>
      <c r="S17" s="169" t="str">
        <f>IF(R17="","",HomePage!HOME)</f>
        <v/>
      </c>
      <c r="T17" s="169" t="str">
        <f>INDEX(RESULT!$A$4:$B$33,MATCH(ANALYSIS!R17,RESULT!$B$4:$B$33,0),1)</f>
        <v/>
      </c>
    </row>
    <row r="18" spans="1:20" s="157" customFormat="1" ht="20.100000000000001" customHeight="1">
      <c r="A18" s="158"/>
      <c r="B18" s="158"/>
      <c r="C18" s="158"/>
      <c r="N18" s="182" t="str">
        <f>IF(N17="","",IF(N17+1&gt;HomePage!$D$5,"",N17+1))</f>
        <v/>
      </c>
      <c r="O18" s="169" t="str">
        <f>IF(N18="","",HomePage!HOME)</f>
        <v/>
      </c>
      <c r="P18" s="169" t="str">
        <f>INDEX(RESULT!$A$4:$B$33,MATCH(ANALYSIS!N18,RESULT!$B$4:$B$33,0),1)</f>
        <v/>
      </c>
      <c r="R18" s="182" t="str">
        <f>IF(R17="","",IF(R17+1&gt;HomePage!$D$5,"",R17+1))</f>
        <v/>
      </c>
      <c r="S18" s="169" t="str">
        <f>IF(R18="","",HomePage!HOME)</f>
        <v/>
      </c>
      <c r="T18" s="169" t="str">
        <f>INDEX(RESULT!$A$4:$B$33,MATCH(ANALYSIS!R18,RESULT!$B$4:$B$33,0),1)</f>
        <v/>
      </c>
    </row>
  </sheetData>
  <sheetProtection password="F3D2" sheet="1" objects="1"/>
  <mergeCells count="6">
    <mergeCell ref="O2:P2"/>
    <mergeCell ref="S2:T2"/>
    <mergeCell ref="A1:A3"/>
    <mergeCell ref="A4:A6"/>
    <mergeCell ref="A12:D17"/>
    <mergeCell ref="A8:D10"/>
  </mergeCells>
  <pageMargins left="0.7" right="0.7" top="0.75" bottom="0.75" header="0.3" footer="0.3"/>
  <pageSetup paperSize="9" orientation="landscape"/>
  <colBreaks count="1" manualBreakCount="1">
    <brk id="13" max="1048575" man="1"/>
  </colBreaks>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L25"/>
  <sheetViews>
    <sheetView showGridLines="0" workbookViewId="0">
      <selection sqref="A1:B1"/>
    </sheetView>
  </sheetViews>
  <sheetFormatPr defaultColWidth="8.88671875" defaultRowHeight="14.4"/>
  <cols>
    <col min="1" max="1" width="23.44140625" style="115" customWidth="1"/>
    <col min="2" max="2" width="11.5546875" style="115" customWidth="1"/>
    <col min="3" max="3" width="3.6640625" style="115" customWidth="1"/>
    <col min="4" max="4" width="32.77734375" style="115" customWidth="1"/>
    <col min="5" max="5" width="20.6640625" style="115" customWidth="1"/>
    <col min="6" max="6" width="3.6640625" style="115" customWidth="1"/>
    <col min="7" max="7" width="29.21875" style="115" customWidth="1"/>
    <col min="8" max="8" width="17.88671875" style="115" customWidth="1"/>
    <col min="9" max="9" width="8.88671875" style="115" customWidth="1"/>
    <col min="10" max="12" width="12.21875" style="115" hidden="1" customWidth="1"/>
    <col min="13" max="16384" width="8.88671875" style="115"/>
  </cols>
  <sheetData>
    <row r="1" spans="1:12" ht="18">
      <c r="A1" s="970" t="s">
        <v>426</v>
      </c>
      <c r="B1" s="970"/>
      <c r="D1" s="970" t="s">
        <v>427</v>
      </c>
      <c r="E1" s="970"/>
      <c r="F1" s="970"/>
      <c r="G1" s="970"/>
      <c r="H1" s="970"/>
    </row>
    <row r="3" spans="1:12" ht="26.7" customHeight="1">
      <c r="D3" s="116" t="s">
        <v>428</v>
      </c>
      <c r="E3" s="117"/>
      <c r="G3" s="116" t="s">
        <v>429</v>
      </c>
      <c r="H3" s="117"/>
    </row>
    <row r="4" spans="1:12" ht="28.05" customHeight="1">
      <c r="A4" s="118" t="s">
        <v>430</v>
      </c>
      <c r="B4" s="119">
        <v>0.12</v>
      </c>
      <c r="D4" s="120" t="s">
        <v>431</v>
      </c>
      <c r="E4" s="121">
        <v>100000</v>
      </c>
      <c r="G4" s="120" t="s">
        <v>432</v>
      </c>
      <c r="H4" s="121">
        <v>0</v>
      </c>
      <c r="J4" s="115">
        <v>1</v>
      </c>
      <c r="K4" s="115">
        <f>B5</f>
        <v>5</v>
      </c>
      <c r="L4" s="115">
        <f>B5</f>
        <v>5</v>
      </c>
    </row>
    <row r="5" spans="1:12" ht="28.05" customHeight="1">
      <c r="A5" s="122" t="s">
        <v>433</v>
      </c>
      <c r="B5" s="123">
        <v>5</v>
      </c>
      <c r="D5" s="124" t="s">
        <v>32</v>
      </c>
      <c r="E5" s="125">
        <f>FV(B4,B5,,-E4)</f>
        <v>176234.16832000006</v>
      </c>
      <c r="G5" s="124" t="s">
        <v>434</v>
      </c>
      <c r="H5" s="126">
        <v>10000</v>
      </c>
      <c r="K5" s="148" t="s">
        <v>435</v>
      </c>
      <c r="L5" s="148" t="s">
        <v>436</v>
      </c>
    </row>
    <row r="6" spans="1:12" ht="28.05" customHeight="1">
      <c r="A6" s="127" t="s">
        <v>437</v>
      </c>
      <c r="B6" s="123" t="s">
        <v>436</v>
      </c>
      <c r="D6" s="124" t="s">
        <v>438</v>
      </c>
      <c r="E6" s="128">
        <f>E5-E4</f>
        <v>76234.168320000055</v>
      </c>
      <c r="G6" s="124" t="s">
        <v>32</v>
      </c>
      <c r="H6" s="125">
        <f>FV((1+B4)^(1/12)-1,B5*12,-H5,-H4,1)</f>
        <v>811036.12533527613</v>
      </c>
      <c r="J6" s="149">
        <f>FV(NOMINAL($B$4,12)/12,J4*12,-$H$5,-$H$4,1)</f>
        <v>127664.97908353235</v>
      </c>
      <c r="K6" s="150">
        <f>FV(NOMINAL($B$4,12)/12,K4*12,-$H$5,-$H$4,1)</f>
        <v>811036.12533527613</v>
      </c>
      <c r="L6" s="150">
        <f>FV(NOMINAL($B$4,12)/12,L4*12,-$H$5,-$H$4,1)</f>
        <v>811036.12533527613</v>
      </c>
    </row>
    <row r="7" spans="1:12" ht="20.100000000000001" customHeight="1">
      <c r="D7" s="124" t="s">
        <v>439</v>
      </c>
      <c r="E7" s="128">
        <f>IF((E6-100000)&lt;0,0,E6-100000)</f>
        <v>0</v>
      </c>
      <c r="G7" s="124" t="s">
        <v>440</v>
      </c>
      <c r="H7" s="129">
        <f>IF(OR(B5=1,B6="NO"),FV((1+B4)^(1/12)-1,11,-H5,,1)-(L7*H5),0)</f>
        <v>6464.9790835323511</v>
      </c>
      <c r="J7" s="151">
        <v>11</v>
      </c>
      <c r="K7" s="152">
        <v>0</v>
      </c>
      <c r="L7" s="152">
        <f>(L4*12)-L8</f>
        <v>11</v>
      </c>
    </row>
    <row r="8" spans="1:12" ht="20.100000000000001" customHeight="1">
      <c r="A8" s="959" t="s">
        <v>441</v>
      </c>
      <c r="B8" s="959"/>
      <c r="D8" s="124" t="s">
        <v>442</v>
      </c>
      <c r="E8" s="130">
        <f>10%*(1+4%)</f>
        <v>0.10400000000000001</v>
      </c>
      <c r="G8" s="124" t="s">
        <v>438</v>
      </c>
      <c r="H8" s="128">
        <f>IF(B5=1,FV((1+B4)^(1/12)-1,1,-H5,-H4,1)-H4-H5,IF(B6="YES",FV((1+B4)^(1/12)-1,K8,-H5,-H4,1)-K8*H5,FV((1+B4)^(1/12)-1,L8,-H5,-H4,1)-H4-L8*H5))</f>
        <v>136037.31074719795</v>
      </c>
      <c r="J8" s="151">
        <v>1</v>
      </c>
      <c r="K8" s="152">
        <f>(K4-1)*12</f>
        <v>48</v>
      </c>
      <c r="L8" s="152">
        <f>((L4-1)*12)+1</f>
        <v>49</v>
      </c>
    </row>
    <row r="9" spans="1:12" ht="20.100000000000001" customHeight="1">
      <c r="A9" s="959"/>
      <c r="B9" s="959"/>
      <c r="D9" s="124" t="s">
        <v>443</v>
      </c>
      <c r="E9" s="128">
        <f>E7*E8</f>
        <v>0</v>
      </c>
      <c r="G9" s="124" t="s">
        <v>439</v>
      </c>
      <c r="H9" s="128">
        <f>IF((H8-100000)&lt;0,0,H8-100000)</f>
        <v>36037.310747197946</v>
      </c>
      <c r="J9" s="153">
        <f>FV(NOMINAL($B$4,12)/12,J8,-$H$5,-$H$4,1)</f>
        <v>10094.88792934583</v>
      </c>
      <c r="K9" s="153">
        <f>FV(NOMINAL($B$4,12)/12,K8,-$H$5,-$H$4,1)</f>
        <v>610152.80915334192</v>
      </c>
      <c r="L9" s="153">
        <f>FV(NOMINAL($B$4,12)/12,L8,-$H$5,-$H$4,1)</f>
        <v>626037.31074719795</v>
      </c>
    </row>
    <row r="10" spans="1:12" ht="20.100000000000001" customHeight="1">
      <c r="A10" s="960" t="s">
        <v>444</v>
      </c>
      <c r="B10" s="961"/>
      <c r="D10" s="124" t="s">
        <v>445</v>
      </c>
      <c r="E10" s="125">
        <f>E5-E9</f>
        <v>176234.16832000006</v>
      </c>
      <c r="G10" s="124" t="s">
        <v>443</v>
      </c>
      <c r="H10" s="128">
        <f>H9*E8</f>
        <v>3747.8803177085865</v>
      </c>
      <c r="J10" s="152">
        <f>$H$5*J8</f>
        <v>10000</v>
      </c>
      <c r="K10" s="152">
        <f t="shared" ref="K10:L10" si="0">$H$5*K8</f>
        <v>480000</v>
      </c>
      <c r="L10" s="152">
        <f t="shared" si="0"/>
        <v>490000</v>
      </c>
    </row>
    <row r="11" spans="1:12" ht="20.100000000000001" customHeight="1">
      <c r="A11" s="962"/>
      <c r="B11" s="963"/>
      <c r="D11" s="131" t="s">
        <v>446</v>
      </c>
      <c r="E11" s="132">
        <f>RATE(B5,,-E4,E10,,)</f>
        <v>0.11999999999995045</v>
      </c>
      <c r="G11" s="124" t="s">
        <v>447</v>
      </c>
      <c r="H11" s="128">
        <f>H7*15%*(1+4%)</f>
        <v>1008.5367370310468</v>
      </c>
      <c r="J11" s="153">
        <f>J9-J10</f>
        <v>94.887929345830344</v>
      </c>
      <c r="K11" s="154">
        <f t="shared" ref="K11:L11" si="1">K9-K10</f>
        <v>130152.80915334192</v>
      </c>
      <c r="L11" s="154">
        <f t="shared" si="1"/>
        <v>136037.31074719795</v>
      </c>
    </row>
    <row r="12" spans="1:12" ht="20.100000000000001" customHeight="1">
      <c r="A12" s="964" t="s">
        <v>393</v>
      </c>
      <c r="B12" s="965"/>
      <c r="C12" s="965"/>
      <c r="D12" s="966"/>
      <c r="G12" s="124" t="s">
        <v>445</v>
      </c>
      <c r="H12" s="125">
        <f>H6-(H10+H11)</f>
        <v>806279.70828053646</v>
      </c>
      <c r="L12" s="153">
        <f>FV(NOMINAL(B4,12)/12,L7,-H5,,1)</f>
        <v>116464.97908353235</v>
      </c>
    </row>
    <row r="13" spans="1:12" ht="20.100000000000001" customHeight="1">
      <c r="A13" s="967"/>
      <c r="B13" s="968"/>
      <c r="C13" s="968"/>
      <c r="D13" s="969"/>
      <c r="G13" s="124" t="s">
        <v>446</v>
      </c>
      <c r="H13" s="133">
        <f>((1+I13)^12)-1</f>
        <v>0.11762794640251162</v>
      </c>
      <c r="I13" s="155">
        <f>RATE(B5*12,-H5,-H4,H12,1,)</f>
        <v>9.3104529725827421E-3</v>
      </c>
      <c r="L13" s="156">
        <f>L7*H5</f>
        <v>110000</v>
      </c>
    </row>
    <row r="14" spans="1:12" ht="6" customHeight="1">
      <c r="L14" s="153">
        <f>L12-L13</f>
        <v>6464.9790835323511</v>
      </c>
    </row>
    <row r="15" spans="1:12" ht="18">
      <c r="A15" s="970" t="s">
        <v>426</v>
      </c>
      <c r="B15" s="970"/>
      <c r="D15" s="970" t="s">
        <v>448</v>
      </c>
      <c r="E15" s="970"/>
      <c r="F15" s="970"/>
      <c r="G15" s="970"/>
      <c r="H15" s="970"/>
    </row>
    <row r="16" spans="1:12" ht="6" customHeight="1"/>
    <row r="17" spans="1:8">
      <c r="A17" s="971" t="s">
        <v>449</v>
      </c>
      <c r="B17" s="971"/>
      <c r="D17" s="971" t="s">
        <v>450</v>
      </c>
      <c r="E17" s="971"/>
      <c r="G17" s="971" t="s">
        <v>451</v>
      </c>
      <c r="H17" s="971"/>
    </row>
    <row r="18" spans="1:8">
      <c r="A18" s="134" t="s">
        <v>452</v>
      </c>
      <c r="B18" s="134" t="s">
        <v>373</v>
      </c>
      <c r="D18" s="134" t="s">
        <v>452</v>
      </c>
      <c r="E18" s="134" t="s">
        <v>373</v>
      </c>
      <c r="G18" s="134" t="s">
        <v>452</v>
      </c>
      <c r="H18" s="134" t="s">
        <v>373</v>
      </c>
    </row>
    <row r="19" spans="1:8">
      <c r="A19" s="135">
        <v>41352</v>
      </c>
      <c r="B19" s="136">
        <v>214.30699999999999</v>
      </c>
      <c r="D19" s="137">
        <v>43131</v>
      </c>
      <c r="E19" s="138">
        <v>481.88799999999998</v>
      </c>
      <c r="G19" s="135">
        <v>44277</v>
      </c>
      <c r="H19" s="139">
        <v>580.53599999999994</v>
      </c>
    </row>
    <row r="20" spans="1:8" ht="7.05" customHeight="1"/>
    <row r="21" spans="1:8">
      <c r="A21" s="134" t="s">
        <v>453</v>
      </c>
      <c r="B21" s="134" t="s">
        <v>454</v>
      </c>
      <c r="D21" s="140" t="s">
        <v>455</v>
      </c>
      <c r="E21" s="134" t="s">
        <v>456</v>
      </c>
      <c r="G21" s="957" t="s">
        <v>457</v>
      </c>
      <c r="H21" s="958" t="s">
        <v>436</v>
      </c>
    </row>
    <row r="22" spans="1:8">
      <c r="A22" s="141">
        <f>MAX(MIN(H19,E19),B19)</f>
        <v>481.88799999999998</v>
      </c>
      <c r="B22" s="142">
        <v>1399.8610000000001</v>
      </c>
      <c r="D22" s="143">
        <v>1.0000000000000001E-5</v>
      </c>
      <c r="E22" s="144">
        <v>8.1266970549999993</v>
      </c>
      <c r="G22" s="957"/>
      <c r="H22" s="958"/>
    </row>
    <row r="23" spans="1:8" ht="7.05" customHeight="1"/>
    <row r="24" spans="1:8">
      <c r="A24" s="134" t="s">
        <v>458</v>
      </c>
      <c r="B24" s="134" t="s">
        <v>459</v>
      </c>
      <c r="D24" s="145" t="s">
        <v>460</v>
      </c>
      <c r="E24" s="145" t="s">
        <v>377</v>
      </c>
    </row>
    <row r="25" spans="1:8" s="114" customFormat="1" ht="18" customHeight="1">
      <c r="A25" s="146">
        <v>0.104</v>
      </c>
      <c r="B25" s="144">
        <f>IF(H21="YES",A25*E25,0)</f>
        <v>0</v>
      </c>
      <c r="D25" s="147">
        <f>(B22*H19)-B25</f>
        <v>812669.70549600001</v>
      </c>
      <c r="E25" s="147">
        <f>(H19-A22)*B22</f>
        <v>138093.48792799996</v>
      </c>
    </row>
  </sheetData>
  <sheetProtection password="F3D2" sheet="1" objects="1"/>
  <mergeCells count="12">
    <mergeCell ref="A1:B1"/>
    <mergeCell ref="D1:H1"/>
    <mergeCell ref="A15:B15"/>
    <mergeCell ref="D15:H15"/>
    <mergeCell ref="A17:B17"/>
    <mergeCell ref="D17:E17"/>
    <mergeCell ref="G17:H17"/>
    <mergeCell ref="G21:G22"/>
    <mergeCell ref="H21:H22"/>
    <mergeCell ref="A8:B9"/>
    <mergeCell ref="A10:B11"/>
    <mergeCell ref="A12:D13"/>
  </mergeCells>
  <conditionalFormatting sqref="A8">
    <cfRule type="expression" dxfId="17" priority="1">
      <formula>AND($B$6="YES",$B$5=1)</formula>
    </cfRule>
  </conditionalFormatting>
  <dataValidations count="2">
    <dataValidation type="whole" operator="greaterThanOrEqual" allowBlank="1" showInputMessage="1" showErrorMessage="1" errorTitle="Error!!!" error="Value entered must be whole number and &gt;=1" prompt="Enter any whole number which is &gt;=1" sqref="B5" xr:uid="{00000000-0002-0000-1800-000000000000}">
      <formula1>1</formula1>
    </dataValidation>
    <dataValidation type="list" allowBlank="1" showInputMessage="1" showErrorMessage="1" sqref="B6 H21:H22" xr:uid="{00000000-0002-0000-1800-000001000000}">
      <formula1>"YES,NO"</formula1>
    </dataValidation>
  </dataValidations>
  <pageMargins left="0.7" right="0.7" top="0.75" bottom="0.75" header="0.3" footer="0.3"/>
  <pageSetup paperSize="9" scale="98" orientation="landscape"/>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B1:Y17"/>
  <sheetViews>
    <sheetView showGridLines="0" workbookViewId="0">
      <selection activeCell="C3" sqref="C3"/>
    </sheetView>
  </sheetViews>
  <sheetFormatPr defaultColWidth="8.88671875" defaultRowHeight="14.4"/>
  <cols>
    <col min="1" max="1" width="4.21875" style="62" customWidth="1"/>
    <col min="2" max="2" width="21.109375" style="62" customWidth="1"/>
    <col min="3" max="3" width="13.44140625" style="63" customWidth="1"/>
    <col min="4" max="4" width="1" style="63" customWidth="1"/>
    <col min="5" max="5" width="12.5546875" style="63" customWidth="1"/>
    <col min="6" max="6" width="5.77734375" style="62" customWidth="1"/>
    <col min="7" max="7" width="5.109375" style="62" customWidth="1"/>
    <col min="8" max="8" width="7.33203125" style="62" customWidth="1"/>
    <col min="9" max="14" width="8.5546875" style="62" customWidth="1"/>
    <col min="15" max="17" width="8.88671875" style="62" hidden="1" customWidth="1"/>
    <col min="18" max="18" width="9.109375" style="62" hidden="1" customWidth="1"/>
    <col min="19" max="21" width="8.88671875" style="62" hidden="1" customWidth="1"/>
    <col min="22" max="22" width="8" style="62" hidden="1" customWidth="1"/>
    <col min="23" max="23" width="15.33203125" style="62" hidden="1" customWidth="1"/>
    <col min="24" max="24" width="16.33203125" style="62" hidden="1" customWidth="1"/>
    <col min="25" max="25" width="10.77734375" style="62" customWidth="1"/>
    <col min="26" max="16384" width="8.88671875" style="62"/>
  </cols>
  <sheetData>
    <row r="1" spans="2:25" s="61" customFormat="1" ht="18" customHeight="1">
      <c r="B1" s="64"/>
      <c r="C1" s="64"/>
      <c r="D1" s="64"/>
      <c r="E1" s="65"/>
      <c r="F1" s="66"/>
      <c r="G1" s="66"/>
      <c r="H1" s="66"/>
      <c r="I1" s="66"/>
      <c r="J1" s="66"/>
      <c r="K1" s="66"/>
      <c r="L1" s="66"/>
      <c r="M1" s="66"/>
      <c r="N1" s="66"/>
      <c r="O1" s="66"/>
      <c r="P1" s="66"/>
      <c r="Q1" s="66"/>
      <c r="R1" s="66"/>
    </row>
    <row r="2" spans="2:25" s="61" customFormat="1" ht="25.05" customHeight="1">
      <c r="B2" s="67" t="s">
        <v>461</v>
      </c>
      <c r="C2" s="68"/>
      <c r="D2" s="69"/>
      <c r="E2" s="975" t="s">
        <v>462</v>
      </c>
      <c r="F2" s="976"/>
      <c r="G2" s="976"/>
      <c r="H2" s="976"/>
      <c r="I2" s="88" t="s">
        <v>463</v>
      </c>
    </row>
    <row r="3" spans="2:25" s="61" customFormat="1" ht="25.05" customHeight="1">
      <c r="B3" s="70" t="s">
        <v>464</v>
      </c>
      <c r="C3" s="71">
        <v>1000000</v>
      </c>
      <c r="D3" s="69"/>
      <c r="E3" s="976"/>
      <c r="F3" s="976"/>
      <c r="G3" s="976"/>
      <c r="H3" s="976"/>
      <c r="I3" s="89" t="s">
        <v>365</v>
      </c>
      <c r="J3" s="90">
        <v>0.12</v>
      </c>
      <c r="K3" s="91" t="s">
        <v>369</v>
      </c>
      <c r="L3" s="90">
        <v>7.0000000000000007E-2</v>
      </c>
      <c r="M3" s="91" t="s">
        <v>465</v>
      </c>
      <c r="N3" s="90">
        <v>0.08</v>
      </c>
    </row>
    <row r="4" spans="2:25" s="61" customFormat="1" ht="25.05" customHeight="1">
      <c r="B4" s="72" t="s">
        <v>466</v>
      </c>
      <c r="C4" s="71">
        <v>10</v>
      </c>
      <c r="D4" s="73"/>
      <c r="E4" s="976"/>
      <c r="F4" s="976"/>
      <c r="G4" s="976"/>
      <c r="H4" s="976"/>
      <c r="I4" s="62"/>
      <c r="J4" s="62"/>
      <c r="K4" s="62"/>
      <c r="L4" s="62"/>
      <c r="M4" s="62"/>
      <c r="N4" s="62"/>
      <c r="O4" s="62"/>
      <c r="P4" s="62"/>
      <c r="Q4" s="62"/>
      <c r="R4" s="62"/>
      <c r="S4" s="62"/>
      <c r="T4" s="62"/>
      <c r="U4" s="62"/>
      <c r="V4" s="62"/>
      <c r="W4" s="62"/>
      <c r="X4" s="62"/>
      <c r="Y4" s="62"/>
    </row>
    <row r="5" spans="2:25" s="61" customFormat="1" ht="25.05" customHeight="1">
      <c r="B5" s="72" t="s">
        <v>29</v>
      </c>
      <c r="C5" s="74">
        <v>7.0000000000000007E-2</v>
      </c>
      <c r="D5" s="69"/>
      <c r="E5" s="976"/>
      <c r="F5" s="976"/>
      <c r="G5" s="976"/>
      <c r="H5" s="976"/>
      <c r="I5" s="92" t="s">
        <v>467</v>
      </c>
      <c r="J5" s="93"/>
      <c r="K5" s="94"/>
      <c r="L5" s="95" t="s">
        <v>48</v>
      </c>
      <c r="M5" s="96"/>
      <c r="N5" s="96"/>
      <c r="O5" s="97"/>
      <c r="P5" s="97"/>
      <c r="Q5" s="97"/>
      <c r="R5" s="105" t="s">
        <v>467</v>
      </c>
      <c r="S5" s="105"/>
      <c r="T5" s="105"/>
      <c r="U5" s="105"/>
      <c r="V5" s="105" t="s">
        <v>48</v>
      </c>
      <c r="W5" s="106" t="s">
        <v>467</v>
      </c>
      <c r="X5" s="106" t="s">
        <v>48</v>
      </c>
      <c r="Y5" s="111" t="s">
        <v>468</v>
      </c>
    </row>
    <row r="6" spans="2:25" s="61" customFormat="1" ht="25.05" customHeight="1">
      <c r="B6" s="75" t="s">
        <v>469</v>
      </c>
      <c r="C6" s="76">
        <f>FV(C5,C4,,-C3,1)</f>
        <v>1967151.3572895655</v>
      </c>
      <c r="D6" s="77"/>
      <c r="E6" s="65"/>
      <c r="F6" s="78" t="s">
        <v>411</v>
      </c>
      <c r="G6" s="79">
        <f>C4</f>
        <v>10</v>
      </c>
      <c r="H6" s="80" t="s">
        <v>118</v>
      </c>
      <c r="I6" s="91" t="s">
        <v>365</v>
      </c>
      <c r="J6" s="91" t="s">
        <v>369</v>
      </c>
      <c r="K6" s="98" t="s">
        <v>465</v>
      </c>
      <c r="L6" s="99" t="s">
        <v>365</v>
      </c>
      <c r="M6" s="91" t="s">
        <v>369</v>
      </c>
      <c r="N6" s="91" t="s">
        <v>465</v>
      </c>
      <c r="O6" s="97"/>
      <c r="P6" s="97"/>
      <c r="Q6" s="97"/>
      <c r="R6" s="91" t="s">
        <v>282</v>
      </c>
      <c r="S6" s="91"/>
      <c r="T6" s="91"/>
      <c r="U6" s="91"/>
      <c r="V6" s="91" t="s">
        <v>282</v>
      </c>
      <c r="W6" s="107" t="s">
        <v>32</v>
      </c>
      <c r="X6" s="107" t="s">
        <v>32</v>
      </c>
      <c r="Y6" s="112" t="s">
        <v>470</v>
      </c>
    </row>
    <row r="7" spans="2:25" s="61" customFormat="1" ht="25.05" customHeight="1">
      <c r="B7" s="81" t="s">
        <v>471</v>
      </c>
      <c r="C7" s="71">
        <v>10000</v>
      </c>
      <c r="D7" s="69"/>
      <c r="E7" s="82"/>
      <c r="F7" s="72" t="s">
        <v>472</v>
      </c>
      <c r="G7" s="83">
        <v>5</v>
      </c>
      <c r="H7" s="84" t="s">
        <v>118</v>
      </c>
      <c r="I7" s="100">
        <v>0.7</v>
      </c>
      <c r="J7" s="100">
        <v>0.3</v>
      </c>
      <c r="K7" s="101"/>
      <c r="L7" s="102">
        <v>1</v>
      </c>
      <c r="M7" s="100"/>
      <c r="N7" s="100"/>
      <c r="O7" s="103">
        <f>I7*$J$3</f>
        <v>8.3999999999999991E-2</v>
      </c>
      <c r="P7" s="103">
        <f>J7*$L$3</f>
        <v>2.1000000000000001E-2</v>
      </c>
      <c r="Q7" s="103">
        <f>K7*$N$3</f>
        <v>0</v>
      </c>
      <c r="R7" s="108">
        <f>SUM(O7:Q7)</f>
        <v>0.105</v>
      </c>
      <c r="S7" s="108">
        <f>L7*$J$3</f>
        <v>0.12</v>
      </c>
      <c r="T7" s="108">
        <f>M7*$L$3</f>
        <v>0</v>
      </c>
      <c r="U7" s="108">
        <f>N7*$N$3</f>
        <v>0</v>
      </c>
      <c r="V7" s="108">
        <f>SUM(S7:U7)</f>
        <v>0.12</v>
      </c>
      <c r="W7" s="109">
        <f>IF(AND(G11="Right Years",J10="Right Allocation",M10="Right Allocation"),FV(R7,G7,,-$C$8,),0)</f>
        <v>247117.01489109377</v>
      </c>
      <c r="X7" s="109">
        <f>IF(AND(G11="Right Years",J10="Right Allocation",M10="Right Allocation"),IF(Y7="YES",FV((1+V7)^(1/12)-1,G7*12,-$C$7,,1),FV(V7,G7,,-$C$7,1)),0)</f>
        <v>811036.12533527613</v>
      </c>
      <c r="Y7" s="113" t="s">
        <v>435</v>
      </c>
    </row>
    <row r="8" spans="2:25" s="61" customFormat="1" ht="25.05" customHeight="1">
      <c r="B8" s="81" t="s">
        <v>473</v>
      </c>
      <c r="C8" s="71">
        <v>150000</v>
      </c>
      <c r="D8" s="69"/>
      <c r="E8" s="82"/>
      <c r="F8" s="72" t="s">
        <v>474</v>
      </c>
      <c r="G8" s="83">
        <v>3</v>
      </c>
      <c r="H8" s="84" t="s">
        <v>118</v>
      </c>
      <c r="I8" s="100">
        <v>0.5</v>
      </c>
      <c r="J8" s="100">
        <v>0.5</v>
      </c>
      <c r="K8" s="101"/>
      <c r="L8" s="102">
        <v>1</v>
      </c>
      <c r="M8" s="100"/>
      <c r="N8" s="100"/>
      <c r="O8" s="103">
        <f>I8*$J$3</f>
        <v>0.06</v>
      </c>
      <c r="P8" s="103">
        <f>J8*$L$3</f>
        <v>3.5000000000000003E-2</v>
      </c>
      <c r="Q8" s="103">
        <f>K8*$N$3</f>
        <v>0</v>
      </c>
      <c r="R8" s="108">
        <f t="shared" ref="R8:R9" si="0">SUM(O8:Q8)</f>
        <v>9.5000000000000001E-2</v>
      </c>
      <c r="S8" s="108">
        <f>L8*$J$3</f>
        <v>0.12</v>
      </c>
      <c r="T8" s="108">
        <f>M8*$L$3</f>
        <v>0</v>
      </c>
      <c r="U8" s="108">
        <f>N8*$N$3</f>
        <v>0</v>
      </c>
      <c r="V8" s="108">
        <f t="shared" ref="V8:V9" si="1">SUM(S8:U8)</f>
        <v>0.12</v>
      </c>
      <c r="W8" s="109">
        <f>IF(AND(G11="Right Years",J11="Right Allocation",M11="Right Allocation"),FV(R8,G8,,-W7,),0)</f>
        <v>324447.92926387407</v>
      </c>
      <c r="X8" s="109">
        <f>IF(AND(G11="Right Years",J11="Right Allocation",M11="Right Allocation"),IF(Y8="YES",FV((1+V8)^(1/12)-1,G8*12,-$C$7,-X7,1),FV(V8,G8,,-X7,)),0)</f>
        <v>1570240.0669145156</v>
      </c>
      <c r="Y8" s="113" t="s">
        <v>435</v>
      </c>
    </row>
    <row r="9" spans="2:25" s="61" customFormat="1" ht="25.05" customHeight="1">
      <c r="B9" s="85" t="s">
        <v>32</v>
      </c>
      <c r="C9" s="76">
        <f>Y10</f>
        <v>2202988.4482633006</v>
      </c>
      <c r="D9" s="86"/>
      <c r="E9" s="82"/>
      <c r="F9" s="72" t="s">
        <v>475</v>
      </c>
      <c r="G9" s="83">
        <v>2</v>
      </c>
      <c r="H9" s="84" t="s">
        <v>118</v>
      </c>
      <c r="I9" s="100"/>
      <c r="J9" s="100">
        <v>1</v>
      </c>
      <c r="K9" s="101"/>
      <c r="L9" s="102"/>
      <c r="M9" s="100"/>
      <c r="N9" s="100">
        <v>1</v>
      </c>
      <c r="O9" s="103">
        <f>I9*$J$3</f>
        <v>0</v>
      </c>
      <c r="P9" s="103">
        <f>J9*$L$3</f>
        <v>7.0000000000000007E-2</v>
      </c>
      <c r="Q9" s="103">
        <f>K9*$N$3</f>
        <v>0</v>
      </c>
      <c r="R9" s="108">
        <f t="shared" si="0"/>
        <v>7.0000000000000007E-2</v>
      </c>
      <c r="S9" s="108">
        <f>L9*$J$3</f>
        <v>0</v>
      </c>
      <c r="T9" s="108">
        <f>M9*$L$3</f>
        <v>0</v>
      </c>
      <c r="U9" s="108">
        <f>N9*$N$3</f>
        <v>0.08</v>
      </c>
      <c r="V9" s="108">
        <f t="shared" si="1"/>
        <v>0.08</v>
      </c>
      <c r="W9" s="109">
        <f>IF(AND(G11="Right Years",J12="Right Allocation",M12="Right Allocation"),FV(R9,G9,,-W8,),0)</f>
        <v>371460.43421420944</v>
      </c>
      <c r="X9" s="109">
        <f>IF(AND(G11="Right Years",J12="Right Allocation",M12="Right Allocation"),IF(Y9="YES",FV((1+V9)^(1/12)-1,G9*12,-$C$7,-X8,1),FV(V9,G9,,-X8,)),0)</f>
        <v>1831528.0140490911</v>
      </c>
      <c r="Y9" s="113" t="s">
        <v>436</v>
      </c>
    </row>
    <row r="10" spans="2:25" ht="25.05" hidden="1" customHeight="1">
      <c r="G10" s="62">
        <f>SUM(G7:G9)</f>
        <v>10</v>
      </c>
      <c r="I10" s="104">
        <f>SUM(I7:K7)</f>
        <v>1</v>
      </c>
      <c r="J10" s="62" t="str">
        <f>IF(OR(I10=100%,I10=0%),"Right Allocation","Wrong Allocation")</f>
        <v>Right Allocation</v>
      </c>
      <c r="L10" s="104">
        <f>SUM(L7:N7)</f>
        <v>1</v>
      </c>
      <c r="M10" s="62" t="str">
        <f>IF(OR(L10=100%,L10=0%),"Right Allocation","Wrong Allocation")</f>
        <v>Right Allocation</v>
      </c>
      <c r="W10" s="110">
        <f>W9</f>
        <v>371460.43421420944</v>
      </c>
      <c r="X10" s="110">
        <f>X9</f>
        <v>1831528.0140490911</v>
      </c>
      <c r="Y10" s="110">
        <f>SUM(W10:X10)</f>
        <v>2202988.4482633006</v>
      </c>
    </row>
    <row r="11" spans="2:25" hidden="1">
      <c r="E11" s="62"/>
      <c r="G11" s="62" t="str">
        <f>IF(G10&lt;&gt;G6,"Wrong Years","Right Years")</f>
        <v>Right Years</v>
      </c>
      <c r="I11" s="104">
        <f t="shared" ref="I11:I12" si="2">SUM(I8:K8)</f>
        <v>1</v>
      </c>
      <c r="J11" s="62" t="str">
        <f t="shared" ref="J11:J12" si="3">IF(OR(I11=100%,I11=0%),"Right Allocation","Wrong Allocation")</f>
        <v>Right Allocation</v>
      </c>
      <c r="L11" s="104">
        <f t="shared" ref="L11:L12" si="4">SUM(L8:N8)</f>
        <v>1</v>
      </c>
      <c r="M11" s="62" t="str">
        <f t="shared" ref="M11:M12" si="5">IF(OR(L11=100%,L11=0%),"Right Allocation","Wrong Allocation")</f>
        <v>Right Allocation</v>
      </c>
      <c r="Y11" s="62" t="b">
        <f>AND(J10="Right Allocation",J11="Right Allocation",J12="Right Allocation",M10="Right Allocation",M11="Right Allocation",M12="Right Allocation")</f>
        <v>1</v>
      </c>
    </row>
    <row r="12" spans="2:25" hidden="1">
      <c r="I12" s="104">
        <f t="shared" si="2"/>
        <v>1</v>
      </c>
      <c r="J12" s="62" t="str">
        <f t="shared" si="3"/>
        <v>Right Allocation</v>
      </c>
      <c r="L12" s="104">
        <f t="shared" si="4"/>
        <v>1</v>
      </c>
      <c r="M12" s="62" t="str">
        <f t="shared" si="5"/>
        <v>Right Allocation</v>
      </c>
    </row>
    <row r="13" spans="2:25" ht="25.05" customHeight="1">
      <c r="B13" s="66"/>
      <c r="C13" s="66"/>
      <c r="F13" s="975" t="s">
        <v>476</v>
      </c>
      <c r="G13" s="975"/>
      <c r="H13" s="975"/>
      <c r="I13" s="975"/>
      <c r="J13" s="975"/>
      <c r="K13" s="975"/>
      <c r="L13" s="975"/>
      <c r="M13" s="977"/>
      <c r="N13" s="973" t="str">
        <f>IF(C9&gt;=C6,"Y","N")</f>
        <v>Y</v>
      </c>
      <c r="Y13" s="974" t="str">
        <f>IF(N13="Y",CHAR(252),CHAR(251))</f>
        <v>ü</v>
      </c>
    </row>
    <row r="14" spans="2:25" ht="25.05" customHeight="1">
      <c r="B14" s="66"/>
      <c r="C14" s="66"/>
      <c r="F14" s="975"/>
      <c r="G14" s="975"/>
      <c r="H14" s="975"/>
      <c r="I14" s="975"/>
      <c r="J14" s="975"/>
      <c r="K14" s="975"/>
      <c r="L14" s="975"/>
      <c r="M14" s="977"/>
      <c r="N14" s="973"/>
      <c r="Y14" s="974"/>
    </row>
    <row r="15" spans="2:25" ht="15.6">
      <c r="B15" s="66"/>
      <c r="C15" s="66"/>
      <c r="F15" s="972" t="str">
        <f>IF(N13="Y","","Adjust either the investment amount or asset allocation% to achieve the goal")</f>
        <v/>
      </c>
      <c r="G15" s="972"/>
      <c r="H15" s="972"/>
      <c r="I15" s="972"/>
      <c r="J15" s="972"/>
      <c r="K15" s="972"/>
      <c r="L15" s="972"/>
      <c r="M15" s="972"/>
      <c r="N15" s="972"/>
    </row>
    <row r="16" spans="2:25" ht="15.6">
      <c r="B16" s="66"/>
      <c r="C16" s="66"/>
      <c r="F16" s="87" t="str">
        <f>IF(G11="Right Years","","Years chosen for short, medium and long term is not adding up to "&amp;C4&amp;" years")</f>
        <v/>
      </c>
    </row>
    <row r="17" spans="2:6" ht="15.6">
      <c r="B17" s="66"/>
      <c r="C17" s="66"/>
      <c r="F17" s="87" t="str">
        <f>IF(Y11=TRUE,"","Total Allocation% in a term is not adding up to 100%")</f>
        <v/>
      </c>
    </row>
  </sheetData>
  <sheetProtection algorithmName="SHA-512" hashValue="h1R4QAHpTbSO6ssquAWupCnWJLJmFBkg0ozhpAuDN1yA7fwlfiltmgZYJ3NPVqdRJspumQ0YH/602AZk5ZORWQ==" saltValue="x5mOHf8zQ8Brn2DQRmsoBQ==" spinCount="100000" sheet="1" objects="1"/>
  <mergeCells count="5">
    <mergeCell ref="F15:N15"/>
    <mergeCell ref="N13:N14"/>
    <mergeCell ref="Y13:Y14"/>
    <mergeCell ref="E2:H5"/>
    <mergeCell ref="F13:M14"/>
  </mergeCells>
  <conditionalFormatting sqref="N13:N14">
    <cfRule type="expression" dxfId="16" priority="1">
      <formula>$N$13="Y"</formula>
    </cfRule>
  </conditionalFormatting>
  <dataValidations count="1">
    <dataValidation type="list" allowBlank="1" showInputMessage="1" showErrorMessage="1" sqref="Y7:Y9" xr:uid="{00000000-0002-0000-1900-000000000000}">
      <formula1>"YES,NO"</formula1>
    </dataValidation>
  </dataValidations>
  <pageMargins left="0.25138888888888899" right="0.25138888888888899" top="0.75138888888888899" bottom="0.75138888888888899" header="0.29861111111111099" footer="0.29861111111111099"/>
  <pageSetup paperSize="9" scale="90" orientation="landscape"/>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W30"/>
  <sheetViews>
    <sheetView showGridLines="0" workbookViewId="0">
      <selection activeCell="F4" sqref="F4"/>
    </sheetView>
  </sheetViews>
  <sheetFormatPr defaultColWidth="0" defaultRowHeight="13.2" zeroHeight="1"/>
  <cols>
    <col min="1" max="1" width="12.21875" style="14" customWidth="1"/>
    <col min="2" max="4" width="10.77734375" style="14" customWidth="1"/>
    <col min="5" max="5" width="13.44140625" style="14" customWidth="1"/>
    <col min="6" max="6" width="12.44140625" style="14" customWidth="1"/>
    <col min="7" max="7" width="12.21875" style="14" customWidth="1"/>
    <col min="8" max="10" width="10.77734375" style="14" customWidth="1"/>
    <col min="11" max="11" width="13.44140625" style="14" customWidth="1"/>
    <col min="12" max="12" width="12.44140625" style="14" customWidth="1"/>
    <col min="13" max="13" width="12.77734375" style="14" customWidth="1"/>
    <col min="14" max="14" width="8.88671875" style="14" customWidth="1"/>
    <col min="15" max="15" width="10.88671875" style="14" hidden="1" customWidth="1"/>
    <col min="16" max="16" width="14.88671875" style="14" hidden="1" customWidth="1"/>
    <col min="17" max="17" width="21.88671875" style="14" hidden="1" customWidth="1"/>
    <col min="18" max="18" width="21.6640625" style="14" hidden="1" customWidth="1"/>
    <col min="19" max="19" width="14.33203125" style="14" hidden="1" customWidth="1"/>
    <col min="20" max="20" width="12" style="14" hidden="1" customWidth="1"/>
    <col min="21" max="21" width="11.33203125" style="14" hidden="1" customWidth="1"/>
    <col min="22" max="22" width="12" style="14" hidden="1" customWidth="1"/>
    <col min="23" max="16384" width="8.88671875" style="14" hidden="1"/>
  </cols>
  <sheetData>
    <row r="1" spans="1:23" ht="19.95" customHeight="1">
      <c r="A1" s="983" t="s">
        <v>477</v>
      </c>
      <c r="B1" s="983"/>
      <c r="C1" s="983"/>
      <c r="D1" s="983"/>
      <c r="E1" s="983"/>
      <c r="F1" s="983"/>
      <c r="G1" s="983"/>
      <c r="H1" s="983"/>
      <c r="I1" s="983"/>
      <c r="J1" s="983"/>
      <c r="K1" s="983"/>
      <c r="L1" s="983"/>
    </row>
    <row r="2" spans="1:23">
      <c r="A2" s="983"/>
      <c r="B2" s="983"/>
      <c r="C2" s="983"/>
      <c r="D2" s="983"/>
      <c r="E2" s="983"/>
      <c r="F2" s="983"/>
      <c r="G2" s="983"/>
      <c r="H2" s="983"/>
      <c r="I2" s="983"/>
      <c r="J2" s="983"/>
      <c r="K2" s="983"/>
      <c r="L2" s="983"/>
    </row>
    <row r="3" spans="1:23" s="13" customFormat="1" ht="10.199999999999999" customHeight="1">
      <c r="A3" s="15"/>
      <c r="B3" s="15"/>
      <c r="C3" s="15"/>
      <c r="D3" s="15"/>
      <c r="E3" s="15"/>
      <c r="F3" s="15"/>
      <c r="G3" s="15"/>
      <c r="H3" s="15"/>
      <c r="I3" s="15"/>
      <c r="J3" s="15"/>
      <c r="K3" s="15"/>
      <c r="L3" s="15"/>
    </row>
    <row r="4" spans="1:23" ht="19.95" customHeight="1">
      <c r="A4" s="982" t="s">
        <v>478</v>
      </c>
      <c r="B4" s="985" t="s">
        <v>479</v>
      </c>
      <c r="C4" s="985"/>
      <c r="D4" s="985"/>
      <c r="E4" s="986"/>
      <c r="F4" s="16"/>
      <c r="G4" s="982" t="s">
        <v>480</v>
      </c>
      <c r="H4" s="17" t="s">
        <v>481</v>
      </c>
      <c r="I4" s="987"/>
      <c r="J4" s="988"/>
      <c r="K4" s="988"/>
      <c r="L4" s="989"/>
    </row>
    <row r="5" spans="1:23" ht="19.95" customHeight="1">
      <c r="A5" s="982"/>
      <c r="B5" s="985" t="s">
        <v>482</v>
      </c>
      <c r="C5" s="985"/>
      <c r="D5" s="985"/>
      <c r="E5" s="18" t="s">
        <v>483</v>
      </c>
      <c r="F5" s="19"/>
      <c r="G5" s="982"/>
      <c r="H5" s="985" t="s">
        <v>484</v>
      </c>
      <c r="I5" s="985"/>
      <c r="J5" s="985"/>
      <c r="K5" s="49" t="s">
        <v>483</v>
      </c>
      <c r="L5" s="19"/>
      <c r="O5" s="50" t="s">
        <v>365</v>
      </c>
      <c r="P5" s="50" t="s">
        <v>485</v>
      </c>
      <c r="Q5" s="50" t="s">
        <v>486</v>
      </c>
      <c r="R5" s="50" t="s">
        <v>487</v>
      </c>
      <c r="S5" s="50" t="s">
        <v>488</v>
      </c>
      <c r="T5" s="50" t="s">
        <v>48</v>
      </c>
      <c r="V5" s="50" t="s">
        <v>489</v>
      </c>
    </row>
    <row r="6" spans="1:23" ht="19.95" customHeight="1">
      <c r="A6" s="982"/>
      <c r="B6" s="20" t="s">
        <v>490</v>
      </c>
      <c r="C6" s="20" t="s">
        <v>491</v>
      </c>
      <c r="D6" s="20" t="s">
        <v>492</v>
      </c>
      <c r="E6" s="21" t="s">
        <v>493</v>
      </c>
      <c r="F6" s="22" t="s">
        <v>357</v>
      </c>
      <c r="G6" s="982"/>
      <c r="H6" s="23" t="s">
        <v>490</v>
      </c>
      <c r="I6" s="20" t="s">
        <v>491</v>
      </c>
      <c r="J6" s="20" t="s">
        <v>492</v>
      </c>
      <c r="K6" s="21" t="s">
        <v>493</v>
      </c>
      <c r="L6" s="22" t="s">
        <v>357</v>
      </c>
      <c r="O6" s="50" t="s">
        <v>465</v>
      </c>
      <c r="P6" s="50" t="s">
        <v>494</v>
      </c>
      <c r="Q6" s="50" t="s">
        <v>495</v>
      </c>
      <c r="R6" s="50" t="s">
        <v>496</v>
      </c>
      <c r="S6" s="50" t="s">
        <v>497</v>
      </c>
      <c r="T6" s="50" t="s">
        <v>490</v>
      </c>
      <c r="U6" s="56">
        <f>B11</f>
        <v>0</v>
      </c>
      <c r="V6" s="50" t="s">
        <v>490</v>
      </c>
      <c r="W6" s="56">
        <f>H11</f>
        <v>0</v>
      </c>
    </row>
    <row r="7" spans="1:23" ht="28.2" customHeight="1">
      <c r="A7" s="982"/>
      <c r="B7" s="57"/>
      <c r="C7" s="58"/>
      <c r="D7" s="58"/>
      <c r="E7" s="59"/>
      <c r="F7" s="27">
        <f>SUM(B7:E7)</f>
        <v>0</v>
      </c>
      <c r="G7" s="982"/>
      <c r="H7" s="60"/>
      <c r="I7" s="60"/>
      <c r="J7" s="60"/>
      <c r="K7" s="59"/>
      <c r="L7" s="27">
        <f>SUM(H7:K7)</f>
        <v>0</v>
      </c>
      <c r="O7" s="50" t="s">
        <v>369</v>
      </c>
      <c r="P7" s="50" t="s">
        <v>498</v>
      </c>
      <c r="Q7" s="50" t="s">
        <v>499</v>
      </c>
      <c r="R7" s="50" t="s">
        <v>500</v>
      </c>
      <c r="T7" s="50" t="s">
        <v>491</v>
      </c>
      <c r="U7" s="56">
        <f>C11</f>
        <v>0</v>
      </c>
      <c r="V7" s="50" t="s">
        <v>491</v>
      </c>
      <c r="W7" s="56">
        <f>I11</f>
        <v>0</v>
      </c>
    </row>
    <row r="8" spans="1:23" ht="19.95" customHeight="1">
      <c r="A8" s="982"/>
      <c r="B8" s="30">
        <f>B7*$F$5</f>
        <v>0</v>
      </c>
      <c r="C8" s="30">
        <f t="shared" ref="C8:F8" si="0">C7*$F$5</f>
        <v>0</v>
      </c>
      <c r="D8" s="30">
        <f t="shared" si="0"/>
        <v>0</v>
      </c>
      <c r="E8" s="30">
        <f t="shared" si="0"/>
        <v>0</v>
      </c>
      <c r="F8" s="25">
        <f t="shared" si="0"/>
        <v>0</v>
      </c>
      <c r="G8" s="982"/>
      <c r="H8" s="30">
        <f>H7*$L$5</f>
        <v>0</v>
      </c>
      <c r="I8" s="30">
        <f>I7*$L$5</f>
        <v>0</v>
      </c>
      <c r="J8" s="30">
        <f>J7*$L$5</f>
        <v>0</v>
      </c>
      <c r="K8" s="30">
        <f>K7*$L$5</f>
        <v>0</v>
      </c>
      <c r="L8" s="25">
        <f>L7*$L$5</f>
        <v>0</v>
      </c>
      <c r="O8" s="50" t="s">
        <v>501</v>
      </c>
      <c r="P8" s="50" t="s">
        <v>502</v>
      </c>
      <c r="Q8" s="50" t="s">
        <v>503</v>
      </c>
      <c r="R8" s="50" t="s">
        <v>504</v>
      </c>
      <c r="T8" s="50" t="s">
        <v>492</v>
      </c>
      <c r="U8" s="56">
        <f>D11</f>
        <v>0</v>
      </c>
      <c r="V8" s="50" t="s">
        <v>492</v>
      </c>
      <c r="W8" s="56">
        <f>J11</f>
        <v>0</v>
      </c>
    </row>
    <row r="9" spans="1:23" ht="19.95" customHeight="1">
      <c r="A9" s="28" t="s">
        <v>505</v>
      </c>
      <c r="B9" s="29">
        <f>SUMIFS($K$15:$K$29,$G$15:$G$29,B6,$J$15:$J$29,"SIP")</f>
        <v>0</v>
      </c>
      <c r="C9" s="30">
        <f>SUMIFS($K$15:$K$29,$G$15:$G$29,C6,$J$15:$J$29,"SIP")</f>
        <v>0</v>
      </c>
      <c r="D9" s="30">
        <f>SUMIFS($K$15:$K$29,$G$15:$G$29,D6,$J$15:$J$29,"SIP")</f>
        <v>0</v>
      </c>
      <c r="E9" s="30">
        <f>SUMIFS($K$15:$K$29,$G$15:$G$29,E6,$J$15:$J$29,"SIP")</f>
        <v>0</v>
      </c>
      <c r="F9" s="25">
        <f>SUM(B9:E9)</f>
        <v>0</v>
      </c>
      <c r="G9" s="28" t="s">
        <v>505</v>
      </c>
      <c r="H9" s="29">
        <f>SUMIFS($K$15:$K$29,$G$15:$G$29,H6,$J$15:$J$29,"Lump Sum")</f>
        <v>0</v>
      </c>
      <c r="I9" s="30">
        <f>SUMIFS($K$15:$K$29,$G$15:$G$29,I6,$J$15:$J$29,"Lump Sum")</f>
        <v>0</v>
      </c>
      <c r="J9" s="30">
        <f>SUMIFS($K$15:$K$29,$G$15:$G$29,J6,$J$15:$J$29,"Lump Sum")</f>
        <v>0</v>
      </c>
      <c r="K9" s="30">
        <f>SUMIFS($K$15:$K$29,$G$15:$G$29,K6,$J$15:$J$29,"Lump Sum")</f>
        <v>0</v>
      </c>
      <c r="L9" s="25">
        <f>SUM(H9:K9)</f>
        <v>0</v>
      </c>
      <c r="P9" s="50" t="s">
        <v>506</v>
      </c>
      <c r="Q9" s="50" t="s">
        <v>507</v>
      </c>
      <c r="R9" s="50" t="s">
        <v>508</v>
      </c>
      <c r="T9" s="50" t="s">
        <v>493</v>
      </c>
      <c r="U9" s="56">
        <f>E11</f>
        <v>0</v>
      </c>
      <c r="V9" s="50" t="s">
        <v>493</v>
      </c>
      <c r="W9" s="56">
        <f>K11</f>
        <v>0</v>
      </c>
    </row>
    <row r="10" spans="1:23" ht="19.95" customHeight="1">
      <c r="A10" s="31" t="s">
        <v>509</v>
      </c>
      <c r="B10" s="29">
        <f>B8-B9</f>
        <v>0</v>
      </c>
      <c r="C10" s="30">
        <f>C8-C9</f>
        <v>0</v>
      </c>
      <c r="D10" s="30">
        <f t="shared" ref="D10:E10" si="1">D8-D9</f>
        <v>0</v>
      </c>
      <c r="E10" s="30">
        <f t="shared" si="1"/>
        <v>0</v>
      </c>
      <c r="F10" s="32" t="str">
        <f>IF(COUNTIFS(B10:E10,0)=4,"OK","NOT OK")</f>
        <v>OK</v>
      </c>
      <c r="G10" s="31" t="s">
        <v>509</v>
      </c>
      <c r="H10" s="29">
        <f>H8-H9</f>
        <v>0</v>
      </c>
      <c r="I10" s="30">
        <f>I8-I9</f>
        <v>0</v>
      </c>
      <c r="J10" s="30">
        <f t="shared" ref="J10" si="2">J8-J9</f>
        <v>0</v>
      </c>
      <c r="K10" s="30">
        <f t="shared" ref="K10" si="3">K8-K9</f>
        <v>0</v>
      </c>
      <c r="L10" s="32" t="str">
        <f>IF(COUNTIFS(H10:K10,0)=4,"OK","NOT OK")</f>
        <v>OK</v>
      </c>
      <c r="P10" s="50" t="s">
        <v>510</v>
      </c>
      <c r="Q10" s="50" t="s">
        <v>511</v>
      </c>
      <c r="R10" s="50" t="s">
        <v>512</v>
      </c>
    </row>
    <row r="11" spans="1:23" ht="29.4" customHeight="1">
      <c r="A11" s="33" t="s">
        <v>513</v>
      </c>
      <c r="B11" s="34"/>
      <c r="C11" s="35"/>
      <c r="D11" s="35"/>
      <c r="E11" s="36"/>
      <c r="F11" s="37">
        <f>SUMPRODUCT(B7:E7,B11:E11)</f>
        <v>0</v>
      </c>
      <c r="G11" s="33" t="s">
        <v>513</v>
      </c>
      <c r="H11" s="34"/>
      <c r="I11" s="35"/>
      <c r="J11" s="35"/>
      <c r="K11" s="36"/>
      <c r="L11" s="51">
        <f>SUMPRODUCT(H7:K7,H11:K11)</f>
        <v>0</v>
      </c>
      <c r="P11" s="50" t="s">
        <v>514</v>
      </c>
      <c r="Q11" s="50" t="s">
        <v>515</v>
      </c>
      <c r="R11" s="50" t="s">
        <v>516</v>
      </c>
    </row>
    <row r="12" spans="1:23" ht="10.050000000000001" customHeight="1">
      <c r="A12" s="38"/>
      <c r="B12" s="39"/>
      <c r="C12" s="39"/>
      <c r="D12" s="39"/>
      <c r="E12" s="39"/>
      <c r="F12" s="39"/>
      <c r="G12" s="38"/>
      <c r="H12" s="40"/>
      <c r="I12" s="40"/>
      <c r="J12" s="40"/>
      <c r="K12" s="40"/>
      <c r="L12" s="40"/>
      <c r="P12" s="50" t="s">
        <v>517</v>
      </c>
      <c r="Q12" s="50" t="s">
        <v>518</v>
      </c>
      <c r="R12" s="50" t="s">
        <v>519</v>
      </c>
    </row>
    <row r="13" spans="1:23" ht="19.95" customHeight="1">
      <c r="B13" s="990" t="s">
        <v>520</v>
      </c>
      <c r="C13" s="991"/>
      <c r="D13" s="991"/>
      <c r="E13" s="991"/>
      <c r="F13" s="41">
        <f>IF(COUNTIFS(B10:E10,0)=4,SUMIFS(L15:L29,J15:J29,"SIP"),"")</f>
        <v>0</v>
      </c>
      <c r="G13" s="38"/>
      <c r="H13" s="990" t="s">
        <v>521</v>
      </c>
      <c r="I13" s="991"/>
      <c r="J13" s="991"/>
      <c r="K13" s="991"/>
      <c r="L13" s="41">
        <f>IF(COUNTIFS(H10:K10,0),SUMIFS(L15:L29,J15:J29,"Lump Sum"),"")</f>
        <v>0</v>
      </c>
      <c r="M13" s="48"/>
      <c r="P13" s="50" t="s">
        <v>522</v>
      </c>
      <c r="Q13" s="50" t="s">
        <v>523</v>
      </c>
      <c r="R13" s="50" t="s">
        <v>524</v>
      </c>
    </row>
    <row r="14" spans="1:23" ht="28.8">
      <c r="A14" s="42" t="s">
        <v>525</v>
      </c>
      <c r="B14" s="984" t="s">
        <v>526</v>
      </c>
      <c r="C14" s="984"/>
      <c r="D14" s="984"/>
      <c r="E14" s="984"/>
      <c r="F14" s="984"/>
      <c r="G14" s="44" t="s">
        <v>527</v>
      </c>
      <c r="H14" s="984" t="s">
        <v>528</v>
      </c>
      <c r="I14" s="984"/>
      <c r="J14" s="43" t="s">
        <v>529</v>
      </c>
      <c r="K14" s="43" t="s">
        <v>483</v>
      </c>
      <c r="L14" s="52" t="s">
        <v>530</v>
      </c>
      <c r="P14" s="50" t="s">
        <v>531</v>
      </c>
      <c r="Q14" s="50" t="s">
        <v>532</v>
      </c>
      <c r="R14" s="50" t="s">
        <v>533</v>
      </c>
    </row>
    <row r="15" spans="1:23" ht="19.95" customHeight="1">
      <c r="A15" s="45" t="str">
        <f>IF(NOT(ISBLANK(B15)),1,"")</f>
        <v/>
      </c>
      <c r="B15" s="978"/>
      <c r="C15" s="978"/>
      <c r="D15" s="978"/>
      <c r="E15" s="978"/>
      <c r="F15" s="978"/>
      <c r="G15" s="46"/>
      <c r="H15" s="980"/>
      <c r="I15" s="980"/>
      <c r="J15" s="46"/>
      <c r="K15" s="53"/>
      <c r="L15" s="54" t="str">
        <f>IFERROR(IF(ISBLANK(K15),"",IF(J15="Lump Sum",IF(COUNTIFS($H$10:$K$10,0)=4,FV(VLOOKUP(G15,$V$6:$W$9,2,0),$F$4,,-K15),""),IF(COUNTIFS($B$10:$E$10,0)=4,FV((1+VLOOKUP(G15,$T$6:$U$9,2,0))^(1/12)-1,$F$4*12,-K15,,1),""))),"")</f>
        <v/>
      </c>
      <c r="P15" s="50" t="s">
        <v>534</v>
      </c>
      <c r="R15" s="50" t="s">
        <v>535</v>
      </c>
    </row>
    <row r="16" spans="1:23" ht="19.95" customHeight="1">
      <c r="A16" s="45" t="str">
        <f>IFERROR(IF(NOT(ISBLANK(B16)),A15+1,""),MAX($A$15:A15)+1)</f>
        <v/>
      </c>
      <c r="B16" s="978"/>
      <c r="C16" s="979"/>
      <c r="D16" s="979"/>
      <c r="E16" s="979"/>
      <c r="F16" s="979"/>
      <c r="G16" s="47"/>
      <c r="H16" s="980"/>
      <c r="I16" s="981"/>
      <c r="J16" s="47"/>
      <c r="K16" s="55"/>
      <c r="L16" s="54" t="str">
        <f t="shared" ref="L16:L29" si="4">IFERROR(IF(ISBLANK(K16),"",IF(J16="Lump Sum",IF(COUNTIFS($H$10:$K$10,0)=4,FV(VLOOKUP(G16,$V$6:$W$9,2,0),$F$4,,-K16),""),IF(COUNTIFS($B$10:$E$10,0)=4,FV((1+VLOOKUP(G16,$T$6:$U$9,2,0))^(1/12)-1,$F$4*12,-K16,,1),""))),"")</f>
        <v/>
      </c>
      <c r="P16" s="50" t="s">
        <v>536</v>
      </c>
      <c r="R16" s="50" t="s">
        <v>537</v>
      </c>
    </row>
    <row r="17" spans="1:18" ht="19.95" customHeight="1">
      <c r="A17" s="45" t="str">
        <f>IFERROR(IF(NOT(ISBLANK(B17)),A16+1,""),MAX($A$15:A16)+1)</f>
        <v/>
      </c>
      <c r="B17" s="978"/>
      <c r="C17" s="979"/>
      <c r="D17" s="979"/>
      <c r="E17" s="979"/>
      <c r="F17" s="979"/>
      <c r="G17" s="47"/>
      <c r="H17" s="981"/>
      <c r="I17" s="981"/>
      <c r="J17" s="47"/>
      <c r="K17" s="55"/>
      <c r="L17" s="54" t="str">
        <f t="shared" si="4"/>
        <v/>
      </c>
      <c r="P17" s="50" t="s">
        <v>538</v>
      </c>
      <c r="R17" s="50" t="s">
        <v>539</v>
      </c>
    </row>
    <row r="18" spans="1:18" ht="19.95" customHeight="1">
      <c r="A18" s="45" t="str">
        <f>IFERROR(IF(NOT(ISBLANK(B18)),A17+1,""),MAX($A$15:A17)+1)</f>
        <v/>
      </c>
      <c r="B18" s="978"/>
      <c r="C18" s="979"/>
      <c r="D18" s="979"/>
      <c r="E18" s="979"/>
      <c r="F18" s="979"/>
      <c r="G18" s="47"/>
      <c r="H18" s="981"/>
      <c r="I18" s="981"/>
      <c r="J18" s="47"/>
      <c r="K18" s="55"/>
      <c r="L18" s="54" t="str">
        <f t="shared" si="4"/>
        <v/>
      </c>
      <c r="P18" s="50" t="s">
        <v>540</v>
      </c>
      <c r="R18" s="50" t="s">
        <v>541</v>
      </c>
    </row>
    <row r="19" spans="1:18" ht="19.95" customHeight="1">
      <c r="A19" s="45" t="str">
        <f>IFERROR(IF(NOT(ISBLANK(B19)),A18+1,""),MAX($A$15:A18)+1)</f>
        <v/>
      </c>
      <c r="B19" s="978"/>
      <c r="C19" s="979"/>
      <c r="D19" s="979"/>
      <c r="E19" s="979"/>
      <c r="F19" s="979"/>
      <c r="G19" s="47"/>
      <c r="H19" s="980"/>
      <c r="I19" s="981"/>
      <c r="J19" s="47"/>
      <c r="K19" s="55"/>
      <c r="L19" s="54" t="str">
        <f t="shared" si="4"/>
        <v/>
      </c>
      <c r="P19" s="50" t="s">
        <v>542</v>
      </c>
      <c r="R19" s="50" t="s">
        <v>543</v>
      </c>
    </row>
    <row r="20" spans="1:18" ht="19.95" customHeight="1">
      <c r="A20" s="45" t="str">
        <f>IFERROR(IF(NOT(ISBLANK(B20)),A19+1,""),MAX($A$15:A19)+1)</f>
        <v/>
      </c>
      <c r="B20" s="978"/>
      <c r="C20" s="979"/>
      <c r="D20" s="979"/>
      <c r="E20" s="979"/>
      <c r="F20" s="979"/>
      <c r="G20" s="47"/>
      <c r="H20" s="981"/>
      <c r="I20" s="981"/>
      <c r="J20" s="47"/>
      <c r="K20" s="55"/>
      <c r="L20" s="54" t="str">
        <f t="shared" si="4"/>
        <v/>
      </c>
    </row>
    <row r="21" spans="1:18" ht="19.95" customHeight="1">
      <c r="A21" s="45" t="str">
        <f>IFERROR(IF(NOT(ISBLANK(B21)),A20+1,""),MAX($A$15:A20)+1)</f>
        <v/>
      </c>
      <c r="B21" s="978"/>
      <c r="C21" s="979"/>
      <c r="D21" s="979"/>
      <c r="E21" s="979"/>
      <c r="F21" s="979"/>
      <c r="G21" s="47"/>
      <c r="H21" s="981"/>
      <c r="I21" s="981"/>
      <c r="J21" s="47"/>
      <c r="K21" s="55"/>
      <c r="L21" s="54" t="str">
        <f t="shared" si="4"/>
        <v/>
      </c>
    </row>
    <row r="22" spans="1:18" ht="19.95" customHeight="1">
      <c r="A22" s="45" t="str">
        <f>IFERROR(IF(NOT(ISBLANK(B22)),A21+1,""),MAX($A$15:A21)+1)</f>
        <v/>
      </c>
      <c r="B22" s="978"/>
      <c r="C22" s="979"/>
      <c r="D22" s="979"/>
      <c r="E22" s="979"/>
      <c r="F22" s="979"/>
      <c r="G22" s="47"/>
      <c r="H22" s="981"/>
      <c r="I22" s="981"/>
      <c r="J22" s="47"/>
      <c r="K22" s="55"/>
      <c r="L22" s="54" t="str">
        <f t="shared" si="4"/>
        <v/>
      </c>
    </row>
    <row r="23" spans="1:18" ht="19.95" customHeight="1">
      <c r="A23" s="45" t="str">
        <f>IFERROR(IF(NOT(ISBLANK(B23)),A22+1,""),MAX($A$15:A22)+1)</f>
        <v/>
      </c>
      <c r="B23" s="978"/>
      <c r="C23" s="979"/>
      <c r="D23" s="979"/>
      <c r="E23" s="979"/>
      <c r="F23" s="979"/>
      <c r="G23" s="47"/>
      <c r="H23" s="981"/>
      <c r="I23" s="981"/>
      <c r="J23" s="47"/>
      <c r="K23" s="55"/>
      <c r="L23" s="54" t="str">
        <f t="shared" si="4"/>
        <v/>
      </c>
    </row>
    <row r="24" spans="1:18" ht="19.95" customHeight="1">
      <c r="A24" s="45" t="str">
        <f>IFERROR(IF(NOT(ISBLANK(B24)),A23+1,""),MAX($A$15:A23)+1)</f>
        <v/>
      </c>
      <c r="B24" s="978"/>
      <c r="C24" s="979"/>
      <c r="D24" s="979"/>
      <c r="E24" s="979"/>
      <c r="F24" s="979"/>
      <c r="G24" s="47"/>
      <c r="H24" s="981"/>
      <c r="I24" s="981"/>
      <c r="J24" s="47"/>
      <c r="K24" s="55"/>
      <c r="L24" s="54" t="str">
        <f t="shared" si="4"/>
        <v/>
      </c>
    </row>
    <row r="25" spans="1:18" ht="19.95" customHeight="1">
      <c r="A25" s="45" t="str">
        <f>IFERROR(IF(NOT(ISBLANK(B25)),A24+1,""),MAX($A$15:A24)+1)</f>
        <v/>
      </c>
      <c r="B25" s="978"/>
      <c r="C25" s="979"/>
      <c r="D25" s="979"/>
      <c r="E25" s="979"/>
      <c r="F25" s="979"/>
      <c r="G25" s="47"/>
      <c r="H25" s="981"/>
      <c r="I25" s="981"/>
      <c r="J25" s="47"/>
      <c r="K25" s="55"/>
      <c r="L25" s="54" t="str">
        <f t="shared" si="4"/>
        <v/>
      </c>
    </row>
    <row r="26" spans="1:18" ht="19.95" customHeight="1">
      <c r="A26" s="45" t="str">
        <f>IFERROR(IF(NOT(ISBLANK(B26)),A25+1,""),MAX($A$15:A25)+1)</f>
        <v/>
      </c>
      <c r="B26" s="978"/>
      <c r="C26" s="979"/>
      <c r="D26" s="979"/>
      <c r="E26" s="979"/>
      <c r="F26" s="979"/>
      <c r="G26" s="47"/>
      <c r="H26" s="980"/>
      <c r="I26" s="981"/>
      <c r="J26" s="47"/>
      <c r="K26" s="55"/>
      <c r="L26" s="54" t="str">
        <f t="shared" si="4"/>
        <v/>
      </c>
    </row>
    <row r="27" spans="1:18" ht="19.95" customHeight="1">
      <c r="A27" s="45" t="str">
        <f>IFERROR(IF(NOT(ISBLANK(B27)),A26+1,""),MAX($A$15:A26)+1)</f>
        <v/>
      </c>
      <c r="B27" s="978"/>
      <c r="C27" s="979"/>
      <c r="D27" s="979"/>
      <c r="E27" s="979"/>
      <c r="F27" s="979"/>
      <c r="G27" s="47"/>
      <c r="H27" s="981"/>
      <c r="I27" s="981"/>
      <c r="J27" s="47"/>
      <c r="K27" s="55"/>
      <c r="L27" s="54" t="str">
        <f t="shared" si="4"/>
        <v/>
      </c>
    </row>
    <row r="28" spans="1:18" ht="19.95" customHeight="1">
      <c r="A28" s="45" t="str">
        <f>IFERROR(IF(NOT(ISBLANK(B28)),A27+1,""),MAX($A$15:A27)+1)</f>
        <v/>
      </c>
      <c r="B28" s="978"/>
      <c r="C28" s="979"/>
      <c r="D28" s="979"/>
      <c r="E28" s="979"/>
      <c r="F28" s="979"/>
      <c r="G28" s="47"/>
      <c r="H28" s="981"/>
      <c r="I28" s="981"/>
      <c r="J28" s="47"/>
      <c r="K28" s="55"/>
      <c r="L28" s="54" t="str">
        <f t="shared" si="4"/>
        <v/>
      </c>
    </row>
    <row r="29" spans="1:18" ht="19.95" customHeight="1">
      <c r="A29" s="45" t="str">
        <f>IFERROR(IF(NOT(ISBLANK(B29)),A28+1,""),MAX($A$15:A28)+1)</f>
        <v/>
      </c>
      <c r="B29" s="978"/>
      <c r="C29" s="979"/>
      <c r="D29" s="979"/>
      <c r="E29" s="979"/>
      <c r="F29" s="979"/>
      <c r="G29" s="47"/>
      <c r="H29" s="980"/>
      <c r="I29" s="981"/>
      <c r="J29" s="47"/>
      <c r="K29" s="55"/>
      <c r="L29" s="54" t="str">
        <f t="shared" si="4"/>
        <v/>
      </c>
    </row>
    <row r="30" spans="1:18"/>
  </sheetData>
  <sheetProtection algorithmName="SHA-512" hashValue="vKmjeXommLqslpzQKN2OjTEcBQ/bqB7k6DT8Z+LrdDcr5baf9wOD988KLPR4jXyQ2oGBIttAhqF5RIM3nvEb4A==" saltValue="kqfgML60P3swjfsxddSmDQ==" spinCount="100000" sheet="1" objects="1" scenarios="1"/>
  <mergeCells count="41">
    <mergeCell ref="B4:E4"/>
    <mergeCell ref="I4:L4"/>
    <mergeCell ref="B5:D5"/>
    <mergeCell ref="H5:J5"/>
    <mergeCell ref="B13:E13"/>
    <mergeCell ref="H13:K13"/>
    <mergeCell ref="B14:F14"/>
    <mergeCell ref="H14:I14"/>
    <mergeCell ref="B15:F15"/>
    <mergeCell ref="H15:I15"/>
    <mergeCell ref="B16:F16"/>
    <mergeCell ref="H16:I16"/>
    <mergeCell ref="B17:F17"/>
    <mergeCell ref="H17:I17"/>
    <mergeCell ref="B18:F18"/>
    <mergeCell ref="H18:I18"/>
    <mergeCell ref="B19:F19"/>
    <mergeCell ref="H19:I19"/>
    <mergeCell ref="H25:I25"/>
    <mergeCell ref="B20:F20"/>
    <mergeCell ref="H20:I20"/>
    <mergeCell ref="B21:F21"/>
    <mergeCell ref="H21:I21"/>
    <mergeCell ref="B22:F22"/>
    <mergeCell ref="H22:I22"/>
    <mergeCell ref="B29:F29"/>
    <mergeCell ref="H29:I29"/>
    <mergeCell ref="A4:A8"/>
    <mergeCell ref="G4:G8"/>
    <mergeCell ref="A1:L2"/>
    <mergeCell ref="B26:F26"/>
    <mergeCell ref="H26:I26"/>
    <mergeCell ref="B27:F27"/>
    <mergeCell ref="H27:I27"/>
    <mergeCell ref="B28:F28"/>
    <mergeCell ref="H28:I28"/>
    <mergeCell ref="B23:F23"/>
    <mergeCell ref="H23:I23"/>
    <mergeCell ref="B24:F24"/>
    <mergeCell ref="H24:I24"/>
    <mergeCell ref="B25:F25"/>
  </mergeCells>
  <conditionalFormatting sqref="F7">
    <cfRule type="cellIs" dxfId="15" priority="11" operator="lessThan">
      <formula>1</formula>
    </cfRule>
  </conditionalFormatting>
  <conditionalFormatting sqref="L7">
    <cfRule type="cellIs" dxfId="14" priority="10" operator="lessThan">
      <formula>1</formula>
    </cfRule>
  </conditionalFormatting>
  <conditionalFormatting sqref="B10:C10">
    <cfRule type="cellIs" dxfId="13" priority="8" operator="lessThan">
      <formula>0</formula>
    </cfRule>
  </conditionalFormatting>
  <conditionalFormatting sqref="D10:E10">
    <cfRule type="cellIs" dxfId="12" priority="7" operator="lessThan">
      <formula>0</formula>
    </cfRule>
  </conditionalFormatting>
  <conditionalFormatting sqref="F10">
    <cfRule type="expression" dxfId="11" priority="1">
      <formula>COUNTIFS($B$10:$E$10,0)&lt;&gt;4</formula>
    </cfRule>
  </conditionalFormatting>
  <conditionalFormatting sqref="H10:I10">
    <cfRule type="cellIs" dxfId="10" priority="6" operator="lessThan">
      <formula>0</formula>
    </cfRule>
  </conditionalFormatting>
  <conditionalFormatting sqref="J10:K10">
    <cfRule type="cellIs" dxfId="9" priority="5" operator="lessThan">
      <formula>0</formula>
    </cfRule>
  </conditionalFormatting>
  <conditionalFormatting sqref="L10">
    <cfRule type="expression" dxfId="8" priority="2">
      <formula>COUNTIFS($H$10:$K$10,0)&lt;&gt;4</formula>
    </cfRule>
  </conditionalFormatting>
  <dataValidations count="9">
    <dataValidation type="list" allowBlank="1" showInputMessage="1" showErrorMessage="1" sqref="G15:G29" xr:uid="{00000000-0002-0000-1A00-000000000000}">
      <formula1>$O$5:$O$8</formula1>
    </dataValidation>
    <dataValidation type="whole" operator="greaterThanOrEqual" allowBlank="1" showInputMessage="1" showErrorMessage="1" promptTitle="Investment Horizon" prompt="Investment horizon must be &gt;=3" sqref="F4" xr:uid="{00000000-0002-0000-1A00-000001000000}">
      <formula1>3</formula1>
    </dataValidation>
    <dataValidation type="custom" allowBlank="1" showInputMessage="1" showErrorMessage="1" sqref="H7:K7" xr:uid="{00000000-0002-0000-1A00-000002000000}">
      <formula1>IF(1=1,SUM($H$7,$I$7,$J$7,$K$7)&lt;=100%,"")</formula1>
    </dataValidation>
    <dataValidation type="decimal" allowBlank="1" showInputMessage="1" showErrorMessage="1" sqref="C11 I11" xr:uid="{00000000-0002-0000-1A00-000003000000}">
      <formula1>0.05</formula1>
      <formula2>0.14</formula2>
    </dataValidation>
    <dataValidation type="custom" allowBlank="1" showInputMessage="1" showErrorMessage="1" sqref="B7:E7" xr:uid="{00000000-0002-0000-1A00-000004000000}">
      <formula1>IF(1=1,SUM($B$7,$C$7,$D$7,$E$7)&lt;=100%,"")</formula1>
    </dataValidation>
    <dataValidation type="decimal" allowBlank="1" showInputMessage="1" showErrorMessage="1" sqref="B11 H11" xr:uid="{00000000-0002-0000-1A00-000005000000}">
      <formula1>0.06</formula1>
      <formula2>0.15</formula2>
    </dataValidation>
    <dataValidation type="decimal" allowBlank="1" showInputMessage="1" showErrorMessage="1" sqref="D11:E11 J11:K11" xr:uid="{00000000-0002-0000-1A00-000006000000}">
      <formula1>0.03</formula1>
      <formula2>0.1</formula2>
    </dataValidation>
    <dataValidation type="list" allowBlank="1" showInputMessage="1" showErrorMessage="1" sqref="J15:J29" xr:uid="{00000000-0002-0000-1A00-000007000000}">
      <formula1>"Lump Sum,SIP"</formula1>
    </dataValidation>
    <dataValidation type="list" allowBlank="1" showInputMessage="1" showErrorMessage="1" sqref="H15:I29" xr:uid="{00000000-0002-0000-1A00-000008000000}">
      <formula1>INDIRECT(G15)</formula1>
    </dataValidation>
  </dataValidations>
  <printOptions horizontalCentered="1" verticalCentered="1"/>
  <pageMargins left="0.23622047244094499" right="0.23622047244094499" top="0.15748031496063" bottom="0.15748031496063" header="0.31496062992126" footer="0.31496062992126"/>
  <pageSetup paperSize="9" orientation="landscape"/>
  <ignoredErrors>
    <ignoredError sqref="L8 F8" formula="1"/>
  </ignoredErrors>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W30"/>
  <sheetViews>
    <sheetView showGridLines="0" workbookViewId="0">
      <selection activeCell="L15" sqref="L15"/>
    </sheetView>
  </sheetViews>
  <sheetFormatPr defaultColWidth="0" defaultRowHeight="13.2" customHeight="1" zeroHeight="1"/>
  <cols>
    <col min="1" max="1" width="12.21875" style="14" customWidth="1"/>
    <col min="2" max="4" width="10.77734375" style="14" customWidth="1"/>
    <col min="5" max="5" width="13.44140625" style="14" customWidth="1"/>
    <col min="6" max="6" width="12.44140625" style="14" customWidth="1"/>
    <col min="7" max="7" width="12.21875" style="14" customWidth="1"/>
    <col min="8" max="10" width="10.77734375" style="14" customWidth="1"/>
    <col min="11" max="11" width="13.44140625" style="14" customWidth="1"/>
    <col min="12" max="12" width="12.44140625" style="14" customWidth="1"/>
    <col min="13" max="13" width="12.77734375" style="14" customWidth="1"/>
    <col min="14" max="14" width="8.88671875" style="14" customWidth="1"/>
    <col min="15" max="15" width="10.88671875" style="14" hidden="1" customWidth="1"/>
    <col min="16" max="16" width="14.88671875" style="14" hidden="1" customWidth="1"/>
    <col min="17" max="17" width="21.88671875" style="14" hidden="1" customWidth="1"/>
    <col min="18" max="18" width="21.6640625" style="14" hidden="1" customWidth="1"/>
    <col min="19" max="19" width="14.33203125" style="14" hidden="1" customWidth="1"/>
    <col min="20" max="20" width="12" style="14" hidden="1" customWidth="1"/>
    <col min="21" max="21" width="11.33203125" style="14" hidden="1" customWidth="1"/>
    <col min="22" max="22" width="12" style="14" hidden="1" customWidth="1"/>
    <col min="23" max="16384" width="8.88671875" style="14" hidden="1"/>
  </cols>
  <sheetData>
    <row r="1" spans="1:23" ht="19.95" customHeight="1">
      <c r="A1" s="983" t="s">
        <v>477</v>
      </c>
      <c r="B1" s="983"/>
      <c r="C1" s="983"/>
      <c r="D1" s="983"/>
      <c r="E1" s="983"/>
      <c r="F1" s="983"/>
      <c r="G1" s="983"/>
      <c r="H1" s="983"/>
      <c r="I1" s="983"/>
      <c r="J1" s="983"/>
      <c r="K1" s="983"/>
      <c r="L1" s="983"/>
      <c r="M1" s="48"/>
    </row>
    <row r="2" spans="1:23">
      <c r="A2" s="983"/>
      <c r="B2" s="983"/>
      <c r="C2" s="983"/>
      <c r="D2" s="983"/>
      <c r="E2" s="983"/>
      <c r="F2" s="983"/>
      <c r="G2" s="983"/>
      <c r="H2" s="983"/>
      <c r="I2" s="983"/>
      <c r="J2" s="983"/>
      <c r="K2" s="983"/>
      <c r="L2" s="983"/>
    </row>
    <row r="3" spans="1:23" s="13" customFormat="1" ht="10.199999999999999" customHeight="1">
      <c r="A3" s="15"/>
      <c r="G3" s="15"/>
    </row>
    <row r="4" spans="1:23" ht="19.95" customHeight="1">
      <c r="A4" s="982" t="s">
        <v>478</v>
      </c>
      <c r="B4" s="985" t="s">
        <v>479</v>
      </c>
      <c r="C4" s="985"/>
      <c r="D4" s="985"/>
      <c r="E4" s="986"/>
      <c r="F4" s="16"/>
      <c r="G4" s="982" t="s">
        <v>480</v>
      </c>
      <c r="H4" s="17" t="s">
        <v>481</v>
      </c>
      <c r="I4" s="987"/>
      <c r="J4" s="988"/>
      <c r="K4" s="988"/>
      <c r="L4" s="989"/>
    </row>
    <row r="5" spans="1:23" ht="19.95" customHeight="1">
      <c r="A5" s="982"/>
      <c r="B5" s="985" t="s">
        <v>482</v>
      </c>
      <c r="C5" s="985"/>
      <c r="D5" s="985"/>
      <c r="E5" s="18" t="s">
        <v>483</v>
      </c>
      <c r="F5" s="19"/>
      <c r="G5" s="982"/>
      <c r="H5" s="985" t="s">
        <v>484</v>
      </c>
      <c r="I5" s="985"/>
      <c r="J5" s="985"/>
      <c r="K5" s="49" t="s">
        <v>483</v>
      </c>
      <c r="L5" s="19"/>
      <c r="O5" s="50" t="s">
        <v>365</v>
      </c>
      <c r="P5" s="50" t="s">
        <v>485</v>
      </c>
      <c r="Q5" s="50" t="s">
        <v>486</v>
      </c>
      <c r="R5" s="50" t="s">
        <v>487</v>
      </c>
      <c r="S5" s="50" t="s">
        <v>488</v>
      </c>
      <c r="T5" s="50" t="s">
        <v>48</v>
      </c>
      <c r="V5" s="50" t="s">
        <v>489</v>
      </c>
    </row>
    <row r="6" spans="1:23" ht="19.95" customHeight="1">
      <c r="A6" s="982"/>
      <c r="B6" s="20" t="s">
        <v>490</v>
      </c>
      <c r="C6" s="20" t="s">
        <v>491</v>
      </c>
      <c r="D6" s="20" t="s">
        <v>492</v>
      </c>
      <c r="E6" s="21" t="s">
        <v>493</v>
      </c>
      <c r="F6" s="22" t="s">
        <v>357</v>
      </c>
      <c r="G6" s="982"/>
      <c r="H6" s="23" t="s">
        <v>490</v>
      </c>
      <c r="I6" s="20" t="s">
        <v>491</v>
      </c>
      <c r="J6" s="20" t="s">
        <v>492</v>
      </c>
      <c r="K6" s="21" t="s">
        <v>493</v>
      </c>
      <c r="L6" s="22" t="s">
        <v>357</v>
      </c>
      <c r="O6" s="50" t="s">
        <v>465</v>
      </c>
      <c r="P6" s="50" t="s">
        <v>494</v>
      </c>
      <c r="Q6" s="50" t="s">
        <v>495</v>
      </c>
      <c r="R6" s="50" t="s">
        <v>496</v>
      </c>
      <c r="S6" s="50" t="s">
        <v>497</v>
      </c>
      <c r="T6" s="50" t="s">
        <v>490</v>
      </c>
      <c r="U6" s="56">
        <f>B11</f>
        <v>0</v>
      </c>
      <c r="V6" s="50" t="s">
        <v>490</v>
      </c>
      <c r="W6" s="56">
        <f>H11</f>
        <v>0</v>
      </c>
    </row>
    <row r="7" spans="1:23" ht="28.2" customHeight="1">
      <c r="A7" s="982"/>
      <c r="B7" s="24">
        <v>0</v>
      </c>
      <c r="C7" s="24">
        <v>0</v>
      </c>
      <c r="D7" s="24">
        <v>0</v>
      </c>
      <c r="E7" s="24">
        <v>0</v>
      </c>
      <c r="F7" s="25">
        <f>SUM(B7:E7)</f>
        <v>0</v>
      </c>
      <c r="G7" s="982"/>
      <c r="H7" s="24">
        <v>0</v>
      </c>
      <c r="I7" s="24">
        <v>0</v>
      </c>
      <c r="J7" s="24">
        <v>0</v>
      </c>
      <c r="K7" s="24">
        <v>0</v>
      </c>
      <c r="L7" s="25">
        <f>SUM(H7:K7)</f>
        <v>0</v>
      </c>
      <c r="O7" s="50" t="s">
        <v>369</v>
      </c>
      <c r="P7" s="50" t="s">
        <v>498</v>
      </c>
      <c r="Q7" s="50" t="s">
        <v>499</v>
      </c>
      <c r="R7" s="50" t="s">
        <v>500</v>
      </c>
      <c r="T7" s="50" t="s">
        <v>491</v>
      </c>
      <c r="U7" s="56">
        <f>C11</f>
        <v>0</v>
      </c>
      <c r="V7" s="50" t="s">
        <v>491</v>
      </c>
      <c r="W7" s="56">
        <f>I11</f>
        <v>0</v>
      </c>
    </row>
    <row r="8" spans="1:23" ht="19.95" customHeight="1">
      <c r="A8" s="982"/>
      <c r="B8" s="26" t="str">
        <f>IFERROR(B7/$F$5,"")</f>
        <v/>
      </c>
      <c r="C8" s="26" t="str">
        <f t="shared" ref="C8:E8" si="0">IFERROR(C7/$F$5,"")</f>
        <v/>
      </c>
      <c r="D8" s="26" t="str">
        <f t="shared" si="0"/>
        <v/>
      </c>
      <c r="E8" s="26" t="str">
        <f t="shared" si="0"/>
        <v/>
      </c>
      <c r="F8" s="27">
        <f>SUM(B8:E8)</f>
        <v>0</v>
      </c>
      <c r="G8" s="982"/>
      <c r="H8" s="26" t="str">
        <f t="shared" ref="H8:K8" si="1">IFERROR(H7/$L$5,"")</f>
        <v/>
      </c>
      <c r="I8" s="26" t="str">
        <f t="shared" si="1"/>
        <v/>
      </c>
      <c r="J8" s="26" t="str">
        <f t="shared" si="1"/>
        <v/>
      </c>
      <c r="K8" s="26" t="str">
        <f t="shared" si="1"/>
        <v/>
      </c>
      <c r="L8" s="27">
        <f>SUM(H8:K8)</f>
        <v>0</v>
      </c>
      <c r="O8" s="50" t="s">
        <v>501</v>
      </c>
      <c r="P8" s="50" t="s">
        <v>502</v>
      </c>
      <c r="Q8" s="50" t="s">
        <v>503</v>
      </c>
      <c r="R8" s="50" t="s">
        <v>504</v>
      </c>
      <c r="T8" s="50" t="s">
        <v>492</v>
      </c>
      <c r="U8" s="56">
        <f>D11</f>
        <v>0</v>
      </c>
      <c r="V8" s="50" t="s">
        <v>492</v>
      </c>
      <c r="W8" s="56">
        <f>J11</f>
        <v>0</v>
      </c>
    </row>
    <row r="9" spans="1:23" ht="19.95" customHeight="1">
      <c r="A9" s="28" t="s">
        <v>505</v>
      </c>
      <c r="B9" s="29">
        <f>SUMIFS($K$15:$K$29,$G$15:$G$29,B6,$J$15:$J$29,"SIP")</f>
        <v>0</v>
      </c>
      <c r="C9" s="30">
        <f>SUMIFS($K$15:$K$29,$G$15:$G$29,C6,$J$15:$J$29,"SIP")</f>
        <v>0</v>
      </c>
      <c r="D9" s="30">
        <f>SUMIFS($K$15:$K$29,$G$15:$G$29,D6,$J$15:$J$29,"SIP")</f>
        <v>0</v>
      </c>
      <c r="E9" s="30">
        <f>SUMIFS($K$15:$K$29,$G$15:$G$29,E6,$J$15:$J$29,"SIP")</f>
        <v>0</v>
      </c>
      <c r="F9" s="25">
        <f>SUM(B9:E9)</f>
        <v>0</v>
      </c>
      <c r="G9" s="28" t="s">
        <v>505</v>
      </c>
      <c r="H9" s="29">
        <f>SUMIFS($K$15:$K$29,$G$15:$G$29,H6,$J$15:$J$29,"Lump Sum")</f>
        <v>0</v>
      </c>
      <c r="I9" s="30">
        <f>SUMIFS($K$15:$K$29,$G$15:$G$29,I6,$J$15:$J$29,"Lump Sum")</f>
        <v>0</v>
      </c>
      <c r="J9" s="30">
        <f>SUMIFS($K$15:$K$29,$G$15:$G$29,J6,$J$15:$J$29,"Lump Sum")</f>
        <v>0</v>
      </c>
      <c r="K9" s="30">
        <f>SUMIFS($K$15:$K$29,$G$15:$G$29,K6,$J$15:$J$29,"Lump Sum")</f>
        <v>0</v>
      </c>
      <c r="L9" s="25">
        <f>SUM(H9:K9)</f>
        <v>0</v>
      </c>
      <c r="P9" s="50" t="s">
        <v>506</v>
      </c>
      <c r="Q9" s="50" t="s">
        <v>507</v>
      </c>
      <c r="R9" s="50" t="s">
        <v>508</v>
      </c>
      <c r="T9" s="50" t="s">
        <v>493</v>
      </c>
      <c r="U9" s="56">
        <f>E11</f>
        <v>0</v>
      </c>
      <c r="V9" s="50" t="s">
        <v>493</v>
      </c>
      <c r="W9" s="56">
        <f>K11</f>
        <v>0</v>
      </c>
    </row>
    <row r="10" spans="1:23" ht="19.95" customHeight="1">
      <c r="A10" s="31" t="s">
        <v>509</v>
      </c>
      <c r="B10" s="29">
        <f>B7-B9</f>
        <v>0</v>
      </c>
      <c r="C10" s="30">
        <f>C7-C9</f>
        <v>0</v>
      </c>
      <c r="D10" s="30">
        <f>D7-D9</f>
        <v>0</v>
      </c>
      <c r="E10" s="30">
        <f>E7-E9</f>
        <v>0</v>
      </c>
      <c r="F10" s="32" t="str">
        <f>IF(COUNTIFS(B10:E10,0)=4,"OK","NOT OK")</f>
        <v>OK</v>
      </c>
      <c r="G10" s="31" t="s">
        <v>509</v>
      </c>
      <c r="H10" s="29">
        <f>H7-H9</f>
        <v>0</v>
      </c>
      <c r="I10" s="30">
        <f>I7-I9</f>
        <v>0</v>
      </c>
      <c r="J10" s="30">
        <f>J7-J9</f>
        <v>0</v>
      </c>
      <c r="K10" s="30">
        <f>K7-K9</f>
        <v>0</v>
      </c>
      <c r="L10" s="32" t="str">
        <f>IF(COUNTIFS(H10:K10,0)=4,"OK","NOT OK")</f>
        <v>OK</v>
      </c>
      <c r="P10" s="50" t="s">
        <v>510</v>
      </c>
      <c r="Q10" s="50" t="s">
        <v>511</v>
      </c>
      <c r="R10" s="50" t="s">
        <v>512</v>
      </c>
    </row>
    <row r="11" spans="1:23" ht="29.4" customHeight="1">
      <c r="A11" s="33" t="s">
        <v>513</v>
      </c>
      <c r="B11" s="34"/>
      <c r="C11" s="35"/>
      <c r="D11" s="35"/>
      <c r="E11" s="36"/>
      <c r="F11" s="37">
        <f>SUMPRODUCT(B8:E8,B11:E11)</f>
        <v>0</v>
      </c>
      <c r="G11" s="33" t="s">
        <v>513</v>
      </c>
      <c r="H11" s="34"/>
      <c r="I11" s="35"/>
      <c r="J11" s="35"/>
      <c r="K11" s="36"/>
      <c r="L11" s="51">
        <f>SUMPRODUCT(H8:K8,H11:K11)</f>
        <v>0</v>
      </c>
      <c r="P11" s="50" t="s">
        <v>514</v>
      </c>
      <c r="Q11" s="50" t="s">
        <v>515</v>
      </c>
      <c r="R11" s="50" t="s">
        <v>516</v>
      </c>
    </row>
    <row r="12" spans="1:23" ht="10.050000000000001" customHeight="1">
      <c r="A12" s="38"/>
      <c r="B12" s="39"/>
      <c r="C12" s="39"/>
      <c r="D12" s="39"/>
      <c r="E12" s="39"/>
      <c r="F12" s="39"/>
      <c r="G12" s="38"/>
      <c r="H12" s="40"/>
      <c r="I12" s="40"/>
      <c r="J12" s="40"/>
      <c r="K12" s="40"/>
      <c r="L12" s="40"/>
      <c r="P12" s="50" t="s">
        <v>517</v>
      </c>
      <c r="Q12" s="50" t="s">
        <v>518</v>
      </c>
      <c r="R12" s="50" t="s">
        <v>519</v>
      </c>
    </row>
    <row r="13" spans="1:23" ht="19.95" customHeight="1">
      <c r="B13" s="990" t="s">
        <v>520</v>
      </c>
      <c r="C13" s="991"/>
      <c r="D13" s="991"/>
      <c r="E13" s="991"/>
      <c r="F13" s="41">
        <f>IF(COUNTIFS(B10:E10,0)=4,SUMIFS(L15:L29,J15:J29,"SIP"),"")</f>
        <v>0</v>
      </c>
      <c r="G13" s="38"/>
      <c r="H13" s="990" t="s">
        <v>521</v>
      </c>
      <c r="I13" s="991"/>
      <c r="J13" s="991"/>
      <c r="K13" s="991"/>
      <c r="L13" s="41">
        <f>IF(COUNTIFS(H10:K10,0),SUMIFS(L15:L29,J15:J29,"Lump Sum"),"")</f>
        <v>0</v>
      </c>
      <c r="M13" s="48"/>
      <c r="P13" s="50" t="s">
        <v>522</v>
      </c>
      <c r="Q13" s="50" t="s">
        <v>523</v>
      </c>
      <c r="R13" s="50" t="s">
        <v>524</v>
      </c>
    </row>
    <row r="14" spans="1:23" ht="28.8">
      <c r="A14" s="42" t="s">
        <v>525</v>
      </c>
      <c r="B14" s="984" t="s">
        <v>526</v>
      </c>
      <c r="C14" s="984"/>
      <c r="D14" s="984"/>
      <c r="E14" s="984"/>
      <c r="F14" s="984"/>
      <c r="G14" s="44" t="s">
        <v>527</v>
      </c>
      <c r="H14" s="984" t="s">
        <v>528</v>
      </c>
      <c r="I14" s="984"/>
      <c r="J14" s="43" t="s">
        <v>529</v>
      </c>
      <c r="K14" s="43" t="s">
        <v>483</v>
      </c>
      <c r="L14" s="52" t="s">
        <v>530</v>
      </c>
      <c r="P14" s="50" t="s">
        <v>531</v>
      </c>
      <c r="Q14" s="50" t="s">
        <v>532</v>
      </c>
      <c r="R14" s="50" t="s">
        <v>533</v>
      </c>
    </row>
    <row r="15" spans="1:23" ht="19.95" customHeight="1">
      <c r="A15" s="45" t="str">
        <f>IF(NOT(ISBLANK(B15)),1,"")</f>
        <v/>
      </c>
      <c r="B15" s="978"/>
      <c r="C15" s="978"/>
      <c r="D15" s="978"/>
      <c r="E15" s="978"/>
      <c r="F15" s="978"/>
      <c r="G15" s="46"/>
      <c r="H15" s="980"/>
      <c r="I15" s="980"/>
      <c r="J15" s="46"/>
      <c r="K15" s="53"/>
      <c r="L15" s="54" t="str">
        <f>IFERROR(IF(ISBLANK(K15),"",IF(J15="Lump Sum",IF(COUNTIFS($H$10:$K$10,0)=4,FV(VLOOKUP(G15,$V$6:$W$9,2,0),$F$4,,-K15),""),IF(COUNTIFS($B$10:$E$10,0)=4,FV((1+VLOOKUP(G15,$T$6:$U$9,2,0))^(1/12)-1,$F$4*12,-K15,,1),""))),"")</f>
        <v/>
      </c>
      <c r="P15" s="50" t="s">
        <v>534</v>
      </c>
      <c r="R15" s="50" t="s">
        <v>535</v>
      </c>
    </row>
    <row r="16" spans="1:23" ht="19.95" customHeight="1">
      <c r="A16" s="45" t="str">
        <f>IF(NOT(ISBLANK(B16)),A15+1,"")</f>
        <v/>
      </c>
      <c r="B16" s="978"/>
      <c r="C16" s="979"/>
      <c r="D16" s="979"/>
      <c r="E16" s="979"/>
      <c r="F16" s="979"/>
      <c r="G16" s="47"/>
      <c r="H16" s="980"/>
      <c r="I16" s="981"/>
      <c r="J16" s="46"/>
      <c r="K16" s="55"/>
      <c r="L16" s="54" t="str">
        <f t="shared" ref="L16:L29" si="2">IFERROR(IF(ISBLANK(K16),"",IF(J16="Lump Sum",IF(COUNTIFS($H$10:$K$10,0)=4,FV(VLOOKUP(G16,$V$6:$W$9,2,0),$F$4,,-K16),""),IF(COUNTIFS($B$10:$E$10,0)=4,FV((1+VLOOKUP(G16,$T$6:$U$9,2,0))^(1/12)-1,$F$4*12,-K16,,1),""))),"")</f>
        <v/>
      </c>
      <c r="P16" s="50" t="s">
        <v>536</v>
      </c>
      <c r="R16" s="50" t="s">
        <v>537</v>
      </c>
    </row>
    <row r="17" spans="1:18" ht="19.95" customHeight="1">
      <c r="A17" s="45" t="str">
        <f t="shared" ref="A17:A29" si="3">IF(NOT(ISBLANK(B17)),A16+1,"")</f>
        <v/>
      </c>
      <c r="B17" s="978"/>
      <c r="C17" s="979"/>
      <c r="D17" s="979"/>
      <c r="E17" s="979"/>
      <c r="F17" s="979"/>
      <c r="G17" s="47"/>
      <c r="H17" s="981"/>
      <c r="I17" s="981"/>
      <c r="J17" s="47"/>
      <c r="K17" s="55"/>
      <c r="L17" s="54" t="str">
        <f t="shared" si="2"/>
        <v/>
      </c>
      <c r="P17" s="50" t="s">
        <v>538</v>
      </c>
      <c r="R17" s="50" t="s">
        <v>539</v>
      </c>
    </row>
    <row r="18" spans="1:18" ht="19.95" customHeight="1">
      <c r="A18" s="45" t="str">
        <f t="shared" si="3"/>
        <v/>
      </c>
      <c r="B18" s="978"/>
      <c r="C18" s="979"/>
      <c r="D18" s="979"/>
      <c r="E18" s="979"/>
      <c r="F18" s="979"/>
      <c r="G18" s="47"/>
      <c r="H18" s="981"/>
      <c r="I18" s="981"/>
      <c r="J18" s="47"/>
      <c r="K18" s="55"/>
      <c r="L18" s="54" t="str">
        <f t="shared" si="2"/>
        <v/>
      </c>
      <c r="P18" s="50" t="s">
        <v>540</v>
      </c>
      <c r="R18" s="50" t="s">
        <v>541</v>
      </c>
    </row>
    <row r="19" spans="1:18" ht="19.95" customHeight="1">
      <c r="A19" s="45" t="str">
        <f t="shared" si="3"/>
        <v/>
      </c>
      <c r="B19" s="978"/>
      <c r="C19" s="979"/>
      <c r="D19" s="979"/>
      <c r="E19" s="979"/>
      <c r="F19" s="979"/>
      <c r="G19" s="47"/>
      <c r="H19" s="980"/>
      <c r="I19" s="981"/>
      <c r="J19" s="47"/>
      <c r="K19" s="55"/>
      <c r="L19" s="54" t="str">
        <f t="shared" si="2"/>
        <v/>
      </c>
      <c r="P19" s="50" t="s">
        <v>542</v>
      </c>
      <c r="R19" s="50" t="s">
        <v>543</v>
      </c>
    </row>
    <row r="20" spans="1:18" ht="19.95" customHeight="1">
      <c r="A20" s="45" t="str">
        <f t="shared" si="3"/>
        <v/>
      </c>
      <c r="B20" s="978"/>
      <c r="C20" s="978"/>
      <c r="D20" s="978"/>
      <c r="E20" s="978"/>
      <c r="F20" s="978"/>
      <c r="G20" s="46"/>
      <c r="H20" s="981"/>
      <c r="I20" s="981"/>
      <c r="J20" s="47"/>
      <c r="K20" s="55"/>
      <c r="L20" s="54" t="str">
        <f t="shared" si="2"/>
        <v/>
      </c>
    </row>
    <row r="21" spans="1:18" ht="19.95" customHeight="1">
      <c r="A21" s="45" t="str">
        <f t="shared" si="3"/>
        <v/>
      </c>
      <c r="B21" s="978"/>
      <c r="C21" s="979"/>
      <c r="D21" s="979"/>
      <c r="E21" s="979"/>
      <c r="F21" s="979"/>
      <c r="G21" s="47"/>
      <c r="H21" s="981"/>
      <c r="I21" s="981"/>
      <c r="J21" s="47"/>
      <c r="K21" s="55"/>
      <c r="L21" s="54" t="str">
        <f t="shared" si="2"/>
        <v/>
      </c>
    </row>
    <row r="22" spans="1:18" ht="19.95" customHeight="1">
      <c r="A22" s="45" t="str">
        <f t="shared" si="3"/>
        <v/>
      </c>
      <c r="B22" s="978"/>
      <c r="C22" s="979"/>
      <c r="D22" s="979"/>
      <c r="E22" s="979"/>
      <c r="F22" s="979"/>
      <c r="G22" s="47"/>
      <c r="H22" s="981"/>
      <c r="I22" s="981"/>
      <c r="J22" s="47"/>
      <c r="K22" s="55"/>
      <c r="L22" s="54" t="str">
        <f t="shared" si="2"/>
        <v/>
      </c>
    </row>
    <row r="23" spans="1:18" ht="19.95" customHeight="1">
      <c r="A23" s="45" t="str">
        <f t="shared" si="3"/>
        <v/>
      </c>
      <c r="B23" s="978"/>
      <c r="C23" s="979"/>
      <c r="D23" s="979"/>
      <c r="E23" s="979"/>
      <c r="F23" s="979"/>
      <c r="G23" s="47"/>
      <c r="H23" s="981"/>
      <c r="I23" s="981"/>
      <c r="J23" s="47"/>
      <c r="K23" s="55"/>
      <c r="L23" s="54" t="str">
        <f t="shared" si="2"/>
        <v/>
      </c>
    </row>
    <row r="24" spans="1:18" ht="19.95" customHeight="1">
      <c r="A24" s="45" t="str">
        <f t="shared" si="3"/>
        <v/>
      </c>
      <c r="B24" s="978"/>
      <c r="C24" s="979"/>
      <c r="D24" s="979"/>
      <c r="E24" s="979"/>
      <c r="F24" s="979"/>
      <c r="G24" s="47"/>
      <c r="H24" s="981"/>
      <c r="I24" s="981"/>
      <c r="J24" s="47"/>
      <c r="K24" s="55"/>
      <c r="L24" s="54" t="str">
        <f t="shared" si="2"/>
        <v/>
      </c>
    </row>
    <row r="25" spans="1:18" ht="19.95" customHeight="1">
      <c r="A25" s="45" t="str">
        <f t="shared" si="3"/>
        <v/>
      </c>
      <c r="B25" s="978"/>
      <c r="C25" s="979"/>
      <c r="D25" s="979"/>
      <c r="E25" s="979"/>
      <c r="F25" s="979"/>
      <c r="G25" s="47"/>
      <c r="H25" s="981"/>
      <c r="I25" s="981"/>
      <c r="J25" s="47"/>
      <c r="K25" s="55"/>
      <c r="L25" s="54" t="str">
        <f t="shared" si="2"/>
        <v/>
      </c>
    </row>
    <row r="26" spans="1:18" ht="19.95" customHeight="1">
      <c r="A26" s="45" t="str">
        <f t="shared" si="3"/>
        <v/>
      </c>
      <c r="B26" s="978"/>
      <c r="C26" s="979"/>
      <c r="D26" s="979"/>
      <c r="E26" s="979"/>
      <c r="F26" s="979"/>
      <c r="G26" s="47"/>
      <c r="H26" s="980"/>
      <c r="I26" s="981"/>
      <c r="J26" s="47"/>
      <c r="K26" s="55"/>
      <c r="L26" s="54" t="str">
        <f t="shared" si="2"/>
        <v/>
      </c>
    </row>
    <row r="27" spans="1:18" ht="19.95" customHeight="1">
      <c r="A27" s="45" t="str">
        <f t="shared" si="3"/>
        <v/>
      </c>
      <c r="B27" s="978"/>
      <c r="C27" s="979"/>
      <c r="D27" s="979"/>
      <c r="E27" s="979"/>
      <c r="F27" s="979"/>
      <c r="G27" s="47"/>
      <c r="H27" s="981"/>
      <c r="I27" s="981"/>
      <c r="J27" s="47"/>
      <c r="K27" s="55"/>
      <c r="L27" s="54" t="str">
        <f t="shared" si="2"/>
        <v/>
      </c>
    </row>
    <row r="28" spans="1:18" ht="19.95" customHeight="1">
      <c r="A28" s="45" t="str">
        <f t="shared" si="3"/>
        <v/>
      </c>
      <c r="B28" s="978"/>
      <c r="C28" s="979"/>
      <c r="D28" s="979"/>
      <c r="E28" s="979"/>
      <c r="F28" s="979"/>
      <c r="G28" s="47"/>
      <c r="H28" s="981"/>
      <c r="I28" s="981"/>
      <c r="J28" s="47"/>
      <c r="K28" s="55"/>
      <c r="L28" s="54" t="str">
        <f t="shared" si="2"/>
        <v/>
      </c>
    </row>
    <row r="29" spans="1:18" ht="19.95" customHeight="1">
      <c r="A29" s="45" t="str">
        <f t="shared" si="3"/>
        <v/>
      </c>
      <c r="B29" s="978"/>
      <c r="C29" s="979"/>
      <c r="D29" s="979"/>
      <c r="E29" s="979"/>
      <c r="F29" s="979"/>
      <c r="G29" s="47"/>
      <c r="H29" s="980"/>
      <c r="I29" s="981"/>
      <c r="J29" s="47"/>
      <c r="K29" s="55"/>
      <c r="L29" s="54" t="str">
        <f t="shared" si="2"/>
        <v/>
      </c>
    </row>
    <row r="30" spans="1:18"/>
  </sheetData>
  <sheetProtection algorithmName="SHA-512" hashValue="DCa+5mipzbk58Fc50bqkmiwklNbz9iMXo1rBXGH7DhYcou1RqcqFI2VCb3Om8qW6DrNqMKUo3V7m6Zej63+EwA==" saltValue="4+i7WxMzGLGqJLAuEphmdA==" spinCount="100000" sheet="1" objects="1" scenarios="1"/>
  <mergeCells count="41">
    <mergeCell ref="B4:E4"/>
    <mergeCell ref="I4:L4"/>
    <mergeCell ref="B5:D5"/>
    <mergeCell ref="H5:J5"/>
    <mergeCell ref="B13:E13"/>
    <mergeCell ref="H13:K13"/>
    <mergeCell ref="B14:F14"/>
    <mergeCell ref="H14:I14"/>
    <mergeCell ref="B15:F15"/>
    <mergeCell ref="H15:I15"/>
    <mergeCell ref="B16:F16"/>
    <mergeCell ref="H16:I16"/>
    <mergeCell ref="B17:F17"/>
    <mergeCell ref="H17:I17"/>
    <mergeCell ref="B18:F18"/>
    <mergeCell ref="H18:I18"/>
    <mergeCell ref="B19:F19"/>
    <mergeCell ref="H19:I19"/>
    <mergeCell ref="H25:I25"/>
    <mergeCell ref="B20:F20"/>
    <mergeCell ref="H20:I20"/>
    <mergeCell ref="B21:F21"/>
    <mergeCell ref="H21:I21"/>
    <mergeCell ref="B22:F22"/>
    <mergeCell ref="H22:I22"/>
    <mergeCell ref="B29:F29"/>
    <mergeCell ref="H29:I29"/>
    <mergeCell ref="A4:A8"/>
    <mergeCell ref="G4:G8"/>
    <mergeCell ref="A1:L2"/>
    <mergeCell ref="B26:F26"/>
    <mergeCell ref="H26:I26"/>
    <mergeCell ref="B27:F27"/>
    <mergeCell ref="H27:I27"/>
    <mergeCell ref="B28:F28"/>
    <mergeCell ref="H28:I28"/>
    <mergeCell ref="B23:F23"/>
    <mergeCell ref="H23:I23"/>
    <mergeCell ref="B24:F24"/>
    <mergeCell ref="H24:I24"/>
    <mergeCell ref="B25:F25"/>
  </mergeCells>
  <conditionalFormatting sqref="F8">
    <cfRule type="cellIs" dxfId="7" priority="9" operator="lessThan">
      <formula>1</formula>
    </cfRule>
  </conditionalFormatting>
  <conditionalFormatting sqref="L8">
    <cfRule type="cellIs" dxfId="6" priority="1" operator="lessThan">
      <formula>1</formula>
    </cfRule>
  </conditionalFormatting>
  <conditionalFormatting sqref="B10:C10">
    <cfRule type="cellIs" dxfId="5" priority="7" operator="lessThan">
      <formula>0</formula>
    </cfRule>
  </conditionalFormatting>
  <conditionalFormatting sqref="D10:E10">
    <cfRule type="cellIs" dxfId="4" priority="6" operator="lessThan">
      <formula>0</formula>
    </cfRule>
  </conditionalFormatting>
  <conditionalFormatting sqref="F10">
    <cfRule type="expression" dxfId="3" priority="2">
      <formula>COUNTIFS($B$10:$E$10,0)&lt;&gt;4</formula>
    </cfRule>
  </conditionalFormatting>
  <conditionalFormatting sqref="H10:I10">
    <cfRule type="cellIs" dxfId="2" priority="5" operator="lessThan">
      <formula>0</formula>
    </cfRule>
  </conditionalFormatting>
  <conditionalFormatting sqref="J10:K10">
    <cfRule type="cellIs" dxfId="1" priority="4" operator="lessThan">
      <formula>0</formula>
    </cfRule>
  </conditionalFormatting>
  <conditionalFormatting sqref="L10">
    <cfRule type="expression" dxfId="0" priority="3">
      <formula>COUNTIFS($H$10:$K$10,0)&lt;&gt;4</formula>
    </cfRule>
  </conditionalFormatting>
  <dataValidations count="9">
    <dataValidation type="whole" operator="greaterThanOrEqual" allowBlank="1" showInputMessage="1" showErrorMessage="1" promptTitle="Investment horizon" prompt="Investment horizon must be &gt;=3" sqref="F4" xr:uid="{00000000-0002-0000-1B00-000000000000}">
      <formula1>3</formula1>
    </dataValidation>
    <dataValidation type="decimal" allowBlank="1" showInputMessage="1" showErrorMessage="1" sqref="C11 I11" xr:uid="{00000000-0002-0000-1B00-000001000000}">
      <formula1>0.05</formula1>
      <formula2>0.14</formula2>
    </dataValidation>
    <dataValidation type="custom" allowBlank="1" showInputMessage="1" showErrorMessage="1" sqref="B7:E7" xr:uid="{00000000-0002-0000-1B00-000002000000}">
      <formula1>IF(1=1,SUM($B$7,$C$7,$D$7,$E$7)&lt;=$F$5,"")</formula1>
    </dataValidation>
    <dataValidation type="custom" allowBlank="1" showInputMessage="1" showErrorMessage="1" sqref="H7:K7" xr:uid="{00000000-0002-0000-1B00-000003000000}">
      <formula1>IF(1=1,SUM($H$7,$I$7,$J$7,$K$7)&lt;=$L$5,"")</formula1>
    </dataValidation>
    <dataValidation type="decimal" allowBlank="1" showInputMessage="1" showErrorMessage="1" sqref="B11 H11" xr:uid="{00000000-0002-0000-1B00-000004000000}">
      <formula1>0.06</formula1>
      <formula2>0.15</formula2>
    </dataValidation>
    <dataValidation type="decimal" allowBlank="1" showInputMessage="1" showErrorMessage="1" sqref="D11:E11 J11:K11" xr:uid="{00000000-0002-0000-1B00-000005000000}">
      <formula1>0.03</formula1>
      <formula2>0.1</formula2>
    </dataValidation>
    <dataValidation type="list" allowBlank="1" showInputMessage="1" showErrorMessage="1" sqref="J15:J29" xr:uid="{00000000-0002-0000-1B00-000006000000}">
      <formula1>"Lump Sum,SIP"</formula1>
    </dataValidation>
    <dataValidation type="list" allowBlank="1" showInputMessage="1" showErrorMessage="1" sqref="G15:G29" xr:uid="{00000000-0002-0000-1B00-000007000000}">
      <formula1>$O$5:$O$8</formula1>
    </dataValidation>
    <dataValidation type="list" allowBlank="1" showInputMessage="1" showErrorMessage="1" sqref="H15:I29" xr:uid="{00000000-0002-0000-1B00-000008000000}">
      <formula1>INDIRECT(G15)</formula1>
    </dataValidation>
  </dataValidations>
  <printOptions horizontalCentered="1" verticalCentered="1"/>
  <pageMargins left="0.23622047244094499" right="0.23622047244094499" top="0.15748031496063" bottom="0.15748031496063" header="0.31496062992126" footer="0.31496062992126"/>
  <pageSetup paperSize="9" orientation="landscape"/>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M15"/>
  <sheetViews>
    <sheetView topLeftCell="A3" workbookViewId="0">
      <selection activeCell="G2" sqref="G2:I2"/>
    </sheetView>
  </sheetViews>
  <sheetFormatPr defaultColWidth="0" defaultRowHeight="13.2" zeroHeight="1"/>
  <cols>
    <col min="1" max="1" width="16.21875" customWidth="1"/>
    <col min="2" max="13" width="9.21875" customWidth="1"/>
  </cols>
  <sheetData>
    <row r="1" spans="1:13" ht="12.75" hidden="1" customHeight="1">
      <c r="A1" s="1"/>
      <c r="B1" s="2"/>
      <c r="C1" s="2"/>
      <c r="D1" s="2"/>
      <c r="E1" s="2"/>
      <c r="F1" s="2"/>
      <c r="G1" s="2"/>
      <c r="H1" s="2"/>
      <c r="I1" s="2"/>
      <c r="J1" s="2"/>
      <c r="K1" s="2"/>
      <c r="L1" s="2"/>
      <c r="M1" s="2"/>
    </row>
    <row r="2" spans="1:13" hidden="1">
      <c r="A2" s="2"/>
      <c r="B2" s="2"/>
      <c r="C2" s="2"/>
      <c r="D2" s="2"/>
      <c r="E2" s="2"/>
      <c r="F2" s="2"/>
      <c r="G2" s="2"/>
      <c r="H2" s="2"/>
      <c r="I2" s="2"/>
      <c r="J2" s="2"/>
      <c r="K2" s="2"/>
      <c r="L2" s="2"/>
      <c r="M2" s="2"/>
    </row>
    <row r="3" spans="1:13" ht="15.6">
      <c r="A3" s="992"/>
      <c r="B3" s="992"/>
      <c r="C3" s="992"/>
      <c r="D3" s="992"/>
      <c r="E3" s="992"/>
      <c r="F3" s="992"/>
      <c r="G3" s="992"/>
      <c r="H3" s="992"/>
      <c r="I3" s="992"/>
      <c r="J3" s="992"/>
      <c r="K3" s="992"/>
      <c r="L3" s="992"/>
      <c r="M3" s="992"/>
    </row>
    <row r="4" spans="1:13">
      <c r="A4" s="993" t="s">
        <v>544</v>
      </c>
      <c r="B4" s="994"/>
      <c r="C4" s="994"/>
      <c r="D4" s="994"/>
      <c r="E4" s="994"/>
      <c r="F4" s="994"/>
      <c r="G4" s="994"/>
      <c r="H4" s="994"/>
      <c r="I4" s="994"/>
      <c r="J4" s="994"/>
      <c r="K4" s="994"/>
      <c r="L4" s="994"/>
      <c r="M4" s="994"/>
    </row>
    <row r="5" spans="1:13" ht="13.8">
      <c r="A5" s="3"/>
      <c r="B5" s="3"/>
      <c r="C5" s="3"/>
      <c r="D5" s="3"/>
      <c r="E5" s="3"/>
      <c r="F5" s="3"/>
      <c r="G5" s="3"/>
      <c r="H5" s="3"/>
      <c r="I5" s="3"/>
      <c r="J5" s="3"/>
      <c r="K5" s="3"/>
      <c r="L5" s="3"/>
      <c r="M5" s="3"/>
    </row>
    <row r="6" spans="1:13">
      <c r="A6" s="996" t="s">
        <v>545</v>
      </c>
      <c r="B6" s="996"/>
      <c r="C6" s="996"/>
      <c r="D6" s="996"/>
      <c r="E6" s="996"/>
      <c r="F6" s="996"/>
      <c r="G6" s="996"/>
      <c r="H6" s="996"/>
      <c r="I6" s="996"/>
      <c r="J6" s="996"/>
      <c r="K6" s="996"/>
      <c r="L6" s="996"/>
      <c r="M6" s="996"/>
    </row>
    <row r="7" spans="1:13">
      <c r="A7" s="996"/>
      <c r="B7" s="996"/>
      <c r="C7" s="996"/>
      <c r="D7" s="996"/>
      <c r="E7" s="996"/>
      <c r="F7" s="996"/>
      <c r="G7" s="996"/>
      <c r="H7" s="996"/>
      <c r="I7" s="996"/>
      <c r="J7" s="996"/>
      <c r="K7" s="996"/>
      <c r="L7" s="996"/>
      <c r="M7" s="996"/>
    </row>
    <row r="8" spans="1:13">
      <c r="A8" s="996"/>
      <c r="B8" s="996"/>
      <c r="C8" s="996"/>
      <c r="D8" s="996"/>
      <c r="E8" s="996"/>
      <c r="F8" s="996"/>
      <c r="G8" s="996"/>
      <c r="H8" s="996"/>
      <c r="I8" s="996"/>
      <c r="J8" s="996"/>
      <c r="K8" s="996"/>
      <c r="L8" s="996"/>
      <c r="M8" s="996"/>
    </row>
    <row r="9" spans="1:13">
      <c r="A9" s="996"/>
      <c r="B9" s="996"/>
      <c r="C9" s="996"/>
      <c r="D9" s="996"/>
      <c r="E9" s="996"/>
      <c r="F9" s="996"/>
      <c r="G9" s="996"/>
      <c r="H9" s="996"/>
      <c r="I9" s="996"/>
      <c r="J9" s="996"/>
      <c r="K9" s="996"/>
      <c r="L9" s="996"/>
      <c r="M9" s="996"/>
    </row>
    <row r="10" spans="1:13">
      <c r="A10" s="4"/>
      <c r="B10" s="5"/>
      <c r="C10" s="6"/>
      <c r="D10" s="6"/>
      <c r="E10" s="6"/>
      <c r="F10" s="6"/>
      <c r="G10" s="4"/>
      <c r="H10" s="4"/>
      <c r="I10" s="4"/>
      <c r="J10" s="4"/>
      <c r="K10" s="4"/>
      <c r="L10" s="12"/>
      <c r="M10" s="12"/>
    </row>
    <row r="11" spans="1:13">
      <c r="A11" s="994" t="s">
        <v>546</v>
      </c>
      <c r="B11" s="994"/>
      <c r="C11" s="994"/>
      <c r="D11" s="994"/>
      <c r="E11" s="994"/>
      <c r="F11" s="994"/>
      <c r="G11" s="994"/>
      <c r="H11" s="994"/>
      <c r="I11" s="994"/>
      <c r="J11" s="994"/>
      <c r="K11" s="994"/>
      <c r="L11" s="994"/>
      <c r="M11" s="994"/>
    </row>
    <row r="12" spans="1:13">
      <c r="A12" s="7"/>
      <c r="B12" s="7"/>
      <c r="C12" s="7"/>
      <c r="D12" s="7"/>
      <c r="E12" s="7"/>
      <c r="F12" s="7"/>
      <c r="G12" s="7"/>
      <c r="H12" s="7"/>
      <c r="I12" s="7"/>
      <c r="J12" s="7"/>
      <c r="K12" s="7"/>
      <c r="L12" s="7"/>
      <c r="M12" s="7"/>
    </row>
    <row r="13" spans="1:13">
      <c r="A13" s="8"/>
      <c r="B13" s="7"/>
      <c r="C13" s="7"/>
      <c r="D13" s="7"/>
      <c r="E13" s="7"/>
      <c r="F13" s="7"/>
      <c r="G13" s="7"/>
      <c r="H13" s="7"/>
      <c r="I13" s="7"/>
      <c r="J13" s="7"/>
      <c r="K13" s="7"/>
      <c r="L13" s="7"/>
      <c r="M13" s="7"/>
    </row>
    <row r="14" spans="1:13">
      <c r="A14" s="995" t="s">
        <v>547</v>
      </c>
      <c r="B14" s="995"/>
      <c r="C14" s="995"/>
      <c r="D14" s="995"/>
      <c r="E14" s="995"/>
      <c r="F14" s="995"/>
      <c r="G14" s="995"/>
      <c r="H14" s="995"/>
      <c r="I14" s="995"/>
      <c r="J14" s="995"/>
      <c r="K14" s="995"/>
      <c r="L14" s="995"/>
      <c r="M14" s="995"/>
    </row>
    <row r="15" spans="1:13">
      <c r="A15" s="9"/>
      <c r="B15" s="10"/>
      <c r="C15" s="10"/>
      <c r="D15" s="11"/>
      <c r="E15" s="10"/>
      <c r="F15" s="10"/>
      <c r="G15" s="10"/>
      <c r="H15" s="10"/>
      <c r="I15" s="10"/>
      <c r="J15" s="10"/>
      <c r="K15" s="10"/>
      <c r="L15" s="10"/>
      <c r="M15" s="9"/>
    </row>
  </sheetData>
  <sheetProtection password="F3D2" sheet="1" objects="1" scenarios="1"/>
  <customSheetViews>
    <customSheetView guid="{79659748-D45A-4BB2-979D-51E4C34D3332}">
      <selection sqref="A1:A3"/>
      <pageMargins left="0.7" right="0.7" top="0.75" bottom="0.75" header="0.3" footer="0.3"/>
    </customSheetView>
  </customSheetViews>
  <mergeCells count="5">
    <mergeCell ref="A3:M3"/>
    <mergeCell ref="A4:M4"/>
    <mergeCell ref="A11:M11"/>
    <mergeCell ref="A14:M14"/>
    <mergeCell ref="A6:M9"/>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R22"/>
  <sheetViews>
    <sheetView showGridLines="0" workbookViewId="0"/>
  </sheetViews>
  <sheetFormatPr defaultColWidth="0" defaultRowHeight="16.05" customHeight="1" zeroHeight="1"/>
  <cols>
    <col min="1" max="1" width="4.21875" style="669" customWidth="1"/>
    <col min="2" max="6" width="14.6640625" style="669" customWidth="1"/>
    <col min="7" max="7" width="4.21875" style="669" customWidth="1"/>
    <col min="8" max="9" width="9.21875" style="669" customWidth="1"/>
    <col min="10" max="11" width="9.5546875" style="669" customWidth="1"/>
    <col min="12" max="12" width="9.21875" style="669" customWidth="1"/>
    <col min="13" max="13" width="14.6640625" style="669" customWidth="1"/>
    <col min="14" max="17" width="9.21875" style="669" customWidth="1"/>
    <col min="18" max="18" width="2.21875" style="669" customWidth="1"/>
    <col min="19" max="16384" width="9.21875" style="669" hidden="1"/>
  </cols>
  <sheetData>
    <row r="1" spans="1:17" ht="27" customHeight="1">
      <c r="A1" s="715"/>
      <c r="B1" s="716" t="s">
        <v>14</v>
      </c>
      <c r="C1" s="716"/>
      <c r="D1" s="716"/>
      <c r="E1" s="716"/>
      <c r="F1" s="716"/>
      <c r="G1" s="717"/>
    </row>
    <row r="2" spans="1:17" ht="19.95" customHeight="1">
      <c r="A2" s="718"/>
      <c r="B2" s="674" t="s">
        <v>2</v>
      </c>
      <c r="C2" s="699"/>
      <c r="D2" s="699"/>
      <c r="E2" s="701"/>
      <c r="F2" s="719">
        <v>20000</v>
      </c>
      <c r="G2" s="712"/>
    </row>
    <row r="3" spans="1:17" ht="19.95" customHeight="1">
      <c r="A3" s="718"/>
      <c r="B3" s="674" t="s">
        <v>15</v>
      </c>
      <c r="C3" s="699"/>
      <c r="D3" s="699"/>
      <c r="E3" s="701"/>
      <c r="F3" s="719">
        <v>20</v>
      </c>
      <c r="G3" s="712"/>
    </row>
    <row r="4" spans="1:17" ht="19.95" customHeight="1">
      <c r="A4" s="718"/>
      <c r="B4" s="783" t="s">
        <v>16</v>
      </c>
      <c r="C4" s="784"/>
      <c r="D4" s="784"/>
      <c r="E4" s="785"/>
      <c r="F4" s="719">
        <v>6</v>
      </c>
      <c r="G4" s="712"/>
      <c r="N4" s="787" t="str">
        <f>"Your opportunity cost today is Rs. "&amp;TEXT(F15/100000,"0.00")&amp;" lakhs if you delay your SIP investment by "&amp;F4&amp;" months"</f>
        <v>Your opportunity cost today is Rs. 2.82 lakhs if you delay your SIP investment by 6 months</v>
      </c>
      <c r="O4" s="788"/>
      <c r="P4" s="788"/>
      <c r="Q4" s="789"/>
    </row>
    <row r="5" spans="1:17" ht="19.95" customHeight="1">
      <c r="A5" s="718"/>
      <c r="B5" s="674" t="s">
        <v>17</v>
      </c>
      <c r="C5" s="699"/>
      <c r="D5" s="699"/>
      <c r="E5" s="701"/>
      <c r="F5" s="684">
        <v>0.12</v>
      </c>
      <c r="G5" s="712"/>
      <c r="J5" s="734" t="s">
        <v>18</v>
      </c>
      <c r="K5" s="734" t="s">
        <v>19</v>
      </c>
      <c r="N5" s="790"/>
      <c r="O5" s="791"/>
      <c r="P5" s="791"/>
      <c r="Q5" s="792"/>
    </row>
    <row r="6" spans="1:17" ht="19.95" customHeight="1">
      <c r="A6" s="718"/>
      <c r="B6" s="674" t="s">
        <v>20</v>
      </c>
      <c r="C6" s="699"/>
      <c r="D6" s="699"/>
      <c r="E6" s="701"/>
      <c r="F6" s="704">
        <v>0.06</v>
      </c>
      <c r="G6" s="712"/>
      <c r="J6" s="735">
        <f>F13</f>
        <v>120000</v>
      </c>
      <c r="K6" s="735">
        <f>F15</f>
        <v>282423.90261796897</v>
      </c>
      <c r="N6" s="790"/>
      <c r="O6" s="791"/>
      <c r="P6" s="791"/>
      <c r="Q6" s="792"/>
    </row>
    <row r="7" spans="1:17" ht="16.05" customHeight="1">
      <c r="A7" s="718"/>
      <c r="B7" s="796" t="s">
        <v>21</v>
      </c>
      <c r="C7" s="796"/>
      <c r="D7" s="796"/>
      <c r="E7" s="796"/>
      <c r="G7" s="712"/>
      <c r="J7" s="735"/>
      <c r="K7" s="735"/>
      <c r="N7" s="790"/>
      <c r="O7" s="791"/>
      <c r="P7" s="791"/>
      <c r="Q7" s="792"/>
    </row>
    <row r="8" spans="1:17" ht="16.05" customHeight="1">
      <c r="A8" s="718"/>
      <c r="B8" s="797"/>
      <c r="C8" s="797"/>
      <c r="D8" s="797"/>
      <c r="E8" s="797"/>
      <c r="G8" s="712"/>
      <c r="J8" s="735"/>
      <c r="K8" s="735"/>
      <c r="N8" s="790"/>
      <c r="O8" s="791"/>
      <c r="P8" s="791"/>
      <c r="Q8" s="792"/>
    </row>
    <row r="9" spans="1:17" ht="16.05" customHeight="1">
      <c r="A9" s="718"/>
      <c r="G9" s="712"/>
      <c r="J9" s="735"/>
      <c r="K9" s="735"/>
      <c r="N9" s="790"/>
      <c r="O9" s="791"/>
      <c r="P9" s="791"/>
      <c r="Q9" s="792"/>
    </row>
    <row r="10" spans="1:17" ht="19.95" customHeight="1">
      <c r="A10" s="718"/>
      <c r="B10" s="720" t="s">
        <v>22</v>
      </c>
      <c r="C10" s="721"/>
      <c r="D10" s="721"/>
      <c r="E10" s="722"/>
      <c r="F10" s="683">
        <f>FV((1+F5*(1-10.4%))^(1/12)-1,F3*12,-F2,,1)</f>
        <v>15835414.830909405</v>
      </c>
      <c r="G10" s="712"/>
      <c r="N10" s="790"/>
      <c r="O10" s="791"/>
      <c r="P10" s="791"/>
      <c r="Q10" s="792"/>
    </row>
    <row r="11" spans="1:17" ht="19.95" customHeight="1">
      <c r="A11" s="718"/>
      <c r="B11" s="674" t="s">
        <v>23</v>
      </c>
      <c r="C11" s="721"/>
      <c r="D11" s="721"/>
      <c r="E11" s="722"/>
      <c r="F11" s="723">
        <f>FV((1+F5*(1-10.4%))^(1/12)-1,(F3*12)-F4,-F2,,1)</f>
        <v>14929643.11462253</v>
      </c>
      <c r="G11" s="712"/>
      <c r="N11" s="790"/>
      <c r="O11" s="791"/>
      <c r="P11" s="791"/>
      <c r="Q11" s="792"/>
    </row>
    <row r="12" spans="1:17" ht="19.95" customHeight="1">
      <c r="A12" s="718"/>
      <c r="B12" s="720" t="s">
        <v>24</v>
      </c>
      <c r="C12" s="699"/>
      <c r="D12" s="699"/>
      <c r="E12" s="701"/>
      <c r="F12" s="724">
        <f>F10-F11</f>
        <v>905771.71628687531</v>
      </c>
      <c r="G12" s="712"/>
      <c r="N12" s="790"/>
      <c r="O12" s="791"/>
      <c r="P12" s="791"/>
      <c r="Q12" s="792"/>
    </row>
    <row r="13" spans="1:17" ht="19.95" customHeight="1">
      <c r="A13" s="718"/>
      <c r="B13" s="720" t="s">
        <v>25</v>
      </c>
      <c r="C13" s="699"/>
      <c r="D13" s="699"/>
      <c r="E13" s="701"/>
      <c r="F13" s="683">
        <f>F4*SIP_DELAY</f>
        <v>120000</v>
      </c>
      <c r="G13" s="712"/>
      <c r="N13" s="790"/>
      <c r="O13" s="791"/>
      <c r="P13" s="791"/>
      <c r="Q13" s="792"/>
    </row>
    <row r="14" spans="1:17" ht="19.95" customHeight="1">
      <c r="A14" s="718"/>
      <c r="B14" s="725"/>
      <c r="C14" s="699"/>
      <c r="D14" s="699"/>
      <c r="E14" s="699"/>
      <c r="F14" s="726"/>
      <c r="G14" s="712"/>
      <c r="N14" s="790"/>
      <c r="O14" s="791"/>
      <c r="P14" s="791"/>
      <c r="Q14" s="792"/>
    </row>
    <row r="15" spans="1:17" ht="19.95" customHeight="1">
      <c r="A15" s="718"/>
      <c r="B15" s="727" t="str">
        <f>"Present value of loss @"&amp;F6*100&amp;"% bank FD rate of interest"</f>
        <v>Present value of loss @6% bank FD rate of interest</v>
      </c>
      <c r="C15" s="728"/>
      <c r="D15" s="728"/>
      <c r="E15" s="729"/>
      <c r="F15" s="683">
        <f>-PV(F6,F3,,F12)</f>
        <v>282423.90261796897</v>
      </c>
      <c r="G15" s="712"/>
      <c r="N15" s="790"/>
      <c r="O15" s="791"/>
      <c r="P15" s="791"/>
      <c r="Q15" s="792"/>
    </row>
    <row r="16" spans="1:17" ht="16.05" customHeight="1">
      <c r="A16" s="718"/>
      <c r="B16" s="462"/>
      <c r="C16" s="462"/>
      <c r="D16" s="462"/>
      <c r="E16" s="462"/>
      <c r="F16" s="462"/>
      <c r="G16" s="712"/>
      <c r="I16" s="786"/>
      <c r="J16" s="786"/>
      <c r="K16" s="786"/>
      <c r="L16" s="786"/>
      <c r="M16" s="786"/>
      <c r="N16" s="790"/>
      <c r="O16" s="791"/>
      <c r="P16" s="791"/>
      <c r="Q16" s="792"/>
    </row>
    <row r="17" spans="1:17" ht="16.05" customHeight="1">
      <c r="A17" s="730"/>
      <c r="B17" s="731"/>
      <c r="C17" s="731"/>
      <c r="D17" s="731"/>
      <c r="E17" s="731"/>
      <c r="F17" s="731"/>
      <c r="G17" s="732"/>
      <c r="N17" s="793"/>
      <c r="O17" s="794"/>
      <c r="P17" s="794"/>
      <c r="Q17" s="795"/>
    </row>
    <row r="18" spans="1:17" ht="16.05" customHeight="1">
      <c r="B18" s="462"/>
      <c r="C18" s="462"/>
      <c r="D18" s="462"/>
      <c r="E18" s="462"/>
      <c r="F18" s="462"/>
    </row>
    <row r="19" spans="1:17" ht="16.05" customHeight="1">
      <c r="B19" s="462"/>
      <c r="C19" s="462"/>
      <c r="D19" s="462"/>
      <c r="E19" s="462"/>
      <c r="F19" s="462"/>
    </row>
    <row r="20" spans="1:17" ht="16.05" customHeight="1">
      <c r="B20" s="462"/>
      <c r="C20" s="462"/>
      <c r="D20" s="462"/>
      <c r="E20" s="462"/>
      <c r="F20" s="462"/>
      <c r="H20" s="733"/>
    </row>
    <row r="21" spans="1:17" ht="16.05" customHeight="1">
      <c r="B21" s="462"/>
      <c r="C21" s="462"/>
      <c r="D21" s="462"/>
      <c r="E21" s="462"/>
      <c r="F21" s="462"/>
    </row>
    <row r="22" spans="1:17" ht="16.05" customHeight="1">
      <c r="B22" s="462"/>
      <c r="C22" s="462"/>
      <c r="D22" s="462"/>
      <c r="E22" s="462"/>
      <c r="F22" s="462"/>
    </row>
  </sheetData>
  <sheetProtection algorithmName="SHA-512" hashValue="c+8xNkhqOlB2vZjSmiCr9vizpgI3+HpqeokTmVbzjSn6hOvJdwr/72hCTpGO4T6hQtv9AXNF1euJXChf7ibL6A==" saltValue="sNM9MQT2uVoPrxUgqJWBaA==" spinCount="100000" sheet="1" objects="1"/>
  <mergeCells count="5">
    <mergeCell ref="B4:E4"/>
    <mergeCell ref="I16:J16"/>
    <mergeCell ref="K16:M16"/>
    <mergeCell ref="N4:Q17"/>
    <mergeCell ref="B7:E8"/>
  </mergeCells>
  <pageMargins left="0.7" right="0.7" top="0.75" bottom="0.75" header="0.3" footer="0.3"/>
  <pageSetup scale="87" orientation="landscape"/>
  <colBreaks count="1" manualBreakCount="1">
    <brk id="13" max="1048575" man="1"/>
  </colBreaks>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W23"/>
  <sheetViews>
    <sheetView showGridLines="0" workbookViewId="0"/>
  </sheetViews>
  <sheetFormatPr defaultColWidth="0" defaultRowHeight="14.4" zeroHeight="1"/>
  <cols>
    <col min="1" max="1" width="4.21875" style="670" customWidth="1"/>
    <col min="2" max="6" width="14.6640625" style="670" customWidth="1"/>
    <col min="7" max="9" width="3.33203125" style="670" customWidth="1"/>
    <col min="10" max="13" width="9.21875" style="670" customWidth="1"/>
    <col min="14" max="14" width="5.5546875" style="670" customWidth="1"/>
    <col min="15" max="15" width="10.77734375" style="670" customWidth="1"/>
    <col min="16" max="16" width="2" style="670" hidden="1" customWidth="1"/>
    <col min="17" max="18" width="2" style="670" customWidth="1"/>
    <col min="19" max="23" width="9.21875" style="670" customWidth="1"/>
    <col min="24" max="16384" width="9.21875" style="670" hidden="1"/>
  </cols>
  <sheetData>
    <row r="1" spans="1:22" ht="22.5" customHeight="1">
      <c r="A1" s="671"/>
      <c r="B1" s="802" t="s">
        <v>26</v>
      </c>
      <c r="C1" s="803"/>
      <c r="D1" s="803"/>
      <c r="E1" s="803"/>
      <c r="F1" s="804"/>
      <c r="G1" s="672"/>
      <c r="H1" s="671"/>
      <c r="J1" s="805" t="s">
        <v>27</v>
      </c>
      <c r="K1" s="806"/>
      <c r="L1" s="806"/>
      <c r="M1" s="806"/>
      <c r="N1" s="806"/>
      <c r="O1" s="806"/>
      <c r="P1" s="672"/>
      <c r="Q1" s="711"/>
    </row>
    <row r="2" spans="1:22" s="669" customFormat="1" ht="19.95" customHeight="1">
      <c r="A2" s="673"/>
      <c r="B2" s="674" t="s">
        <v>28</v>
      </c>
      <c r="C2" s="675"/>
      <c r="D2" s="676">
        <v>2500000</v>
      </c>
      <c r="E2" s="677" t="s">
        <v>29</v>
      </c>
      <c r="F2" s="678">
        <v>7.0000000000000007E-2</v>
      </c>
      <c r="G2" s="673"/>
      <c r="H2" s="673"/>
      <c r="J2" s="674" t="s">
        <v>30</v>
      </c>
      <c r="K2" s="699"/>
      <c r="L2" s="700"/>
      <c r="M2" s="700"/>
      <c r="N2" s="701"/>
      <c r="O2" s="684">
        <v>0.06</v>
      </c>
      <c r="Q2" s="712"/>
    </row>
    <row r="3" spans="1:22" s="669" customFormat="1" ht="19.95" customHeight="1">
      <c r="A3" s="673"/>
      <c r="B3" s="679" t="s">
        <v>31</v>
      </c>
      <c r="C3" s="680"/>
      <c r="D3" s="681">
        <v>15</v>
      </c>
      <c r="E3" s="682" t="s">
        <v>32</v>
      </c>
      <c r="F3" s="683">
        <f>FV(SIP_TARGET,D3,,-D2,)</f>
        <v>6897578.8517883364</v>
      </c>
      <c r="G3" s="673"/>
      <c r="H3" s="673"/>
      <c r="J3" s="674" t="s">
        <v>33</v>
      </c>
      <c r="K3" s="700"/>
      <c r="L3" s="702"/>
      <c r="M3" s="702"/>
      <c r="N3" s="703"/>
      <c r="O3" s="704">
        <v>0.312</v>
      </c>
      <c r="Q3" s="712"/>
    </row>
    <row r="4" spans="1:22" s="669" customFormat="1" ht="19.95" customHeight="1">
      <c r="A4" s="673"/>
      <c r="B4" s="807" t="s">
        <v>34</v>
      </c>
      <c r="C4" s="808"/>
      <c r="D4" s="808"/>
      <c r="E4" s="809"/>
      <c r="F4" s="684">
        <v>0.12</v>
      </c>
      <c r="G4" s="673"/>
      <c r="H4" s="673"/>
      <c r="J4" s="705" t="s">
        <v>35</v>
      </c>
      <c r="K4" s="700"/>
      <c r="L4" s="700"/>
      <c r="M4" s="700"/>
      <c r="N4" s="703"/>
      <c r="O4" s="676"/>
      <c r="Q4" s="712"/>
    </row>
    <row r="5" spans="1:22" ht="19.95" customHeight="1">
      <c r="A5" s="671"/>
      <c r="B5" s="807" t="s">
        <v>35</v>
      </c>
      <c r="C5" s="808"/>
      <c r="D5" s="808"/>
      <c r="E5" s="809"/>
      <c r="F5" s="676"/>
      <c r="G5" s="671"/>
      <c r="H5" s="671"/>
      <c r="J5" s="706" t="s">
        <v>36</v>
      </c>
      <c r="K5" s="707"/>
      <c r="L5" s="707"/>
      <c r="M5" s="707"/>
      <c r="N5" s="707"/>
      <c r="O5" s="683">
        <f>-PMT((1+P5)^(1/12)-1,D3*12,-O4,F3,1)</f>
        <v>27815.969896228758</v>
      </c>
      <c r="P5" s="708">
        <f>O2*(1-O3)</f>
        <v>4.1279999999999997E-2</v>
      </c>
      <c r="Q5" s="713"/>
      <c r="R5" s="714"/>
    </row>
    <row r="6" spans="1:22" ht="19.95" customHeight="1">
      <c r="A6" s="671"/>
      <c r="B6" s="810" t="s">
        <v>36</v>
      </c>
      <c r="C6" s="811"/>
      <c r="D6" s="811"/>
      <c r="E6" s="812"/>
      <c r="F6" s="683">
        <f>-PMT((1+F4*(1-10.4%))^(1/12)-1,D3*12,-F5,F3,1)</f>
        <v>16116.803850738457</v>
      </c>
      <c r="G6" s="671"/>
      <c r="H6" s="671"/>
      <c r="S6"/>
      <c r="T6"/>
      <c r="U6"/>
      <c r="V6"/>
    </row>
    <row r="7" spans="1:22" ht="16.05" customHeight="1">
      <c r="A7" s="671"/>
      <c r="B7" s="685" t="s">
        <v>21</v>
      </c>
      <c r="C7" s="686"/>
      <c r="D7" s="686"/>
      <c r="E7" s="686"/>
      <c r="F7" s="687"/>
      <c r="G7" s="671"/>
      <c r="H7" s="671"/>
      <c r="S7"/>
      <c r="T7"/>
      <c r="U7"/>
      <c r="V7"/>
    </row>
    <row r="8" spans="1:22" ht="13.5" customHeight="1">
      <c r="B8" s="801" t="s">
        <v>37</v>
      </c>
      <c r="C8" s="801"/>
      <c r="D8" s="801"/>
      <c r="E8" s="801"/>
      <c r="F8" s="801"/>
      <c r="G8" s="688"/>
      <c r="S8"/>
      <c r="T8"/>
      <c r="U8"/>
      <c r="V8"/>
    </row>
    <row r="9" spans="1:22" ht="13.5" customHeight="1">
      <c r="B9" s="801"/>
      <c r="C9" s="801"/>
      <c r="D9" s="801"/>
      <c r="E9" s="801"/>
      <c r="F9" s="801"/>
      <c r="G9"/>
      <c r="S9" s="799" t="str">
        <f>"To achieve your goal through MF investment, you need to start an SIP of Rs."&amp;TEXT(F6,"00,00")&amp;". Whereas; if you'd have taken the FD route, you need to start an RD of Rs."&amp;TEXT(O5,"00,00")</f>
        <v>To achieve your goal through MF investment, you need to start an SIP of Rs.16,117. Whereas; if you'd have taken the FD route, you need to start an RD of Rs.27,816</v>
      </c>
      <c r="T9" s="799"/>
      <c r="U9" s="799"/>
      <c r="V9" s="799"/>
    </row>
    <row r="10" spans="1:22" ht="16.05" customHeight="1">
      <c r="B10" s="800" t="s">
        <v>38</v>
      </c>
      <c r="C10" s="800"/>
      <c r="D10" s="800"/>
      <c r="E10" s="800"/>
      <c r="F10" s="800"/>
      <c r="S10" s="799"/>
      <c r="T10" s="799"/>
      <c r="U10" s="799"/>
      <c r="V10" s="799"/>
    </row>
    <row r="11" spans="1:22" ht="16.05" customHeight="1">
      <c r="B11" s="800"/>
      <c r="C11" s="800"/>
      <c r="D11" s="800"/>
      <c r="E11" s="800"/>
      <c r="F11" s="800"/>
      <c r="S11" s="799"/>
      <c r="T11" s="799"/>
      <c r="U11" s="799"/>
      <c r="V11" s="799"/>
    </row>
    <row r="12" spans="1:22" ht="16.05" customHeight="1">
      <c r="S12" s="799"/>
      <c r="T12" s="799"/>
      <c r="U12" s="799"/>
      <c r="V12" s="799"/>
    </row>
    <row r="13" spans="1:22" ht="16.05" customHeight="1">
      <c r="B13" s="689" t="s">
        <v>13</v>
      </c>
      <c r="C13" s="690">
        <f>IF(D3-5&lt;=0,0,D3-5)</f>
        <v>10</v>
      </c>
      <c r="D13" s="690">
        <f>D3</f>
        <v>15</v>
      </c>
      <c r="E13" s="690">
        <f>D3+5</f>
        <v>20</v>
      </c>
      <c r="F13" s="690">
        <f>D3+10</f>
        <v>25</v>
      </c>
      <c r="S13" s="799"/>
      <c r="T13" s="799"/>
      <c r="U13" s="799"/>
      <c r="V13" s="799"/>
    </row>
    <row r="14" spans="1:22" ht="16.05" customHeight="1">
      <c r="B14" s="691">
        <f>P5</f>
        <v>4.1279999999999997E-2</v>
      </c>
      <c r="C14" s="692">
        <f t="shared" ref="C14:C17" si="0">IF($C$13&lt;=0,0,-PMT((1+B14)^(1/12)-1,$C$13*12,,$F$3,1))</f>
        <v>46557.444277531373</v>
      </c>
      <c r="D14" s="692">
        <f t="shared" ref="D14:D17" si="1">-PMT((1+B14)^(1/12)-1,$D$13*12,,$F$3,1)</f>
        <v>27815.969896228758</v>
      </c>
      <c r="E14" s="692">
        <f t="shared" ref="E14:E17" si="2">-PMT((1+B14)^(1/12)-1,$E$13*12,,$F$3,1)</f>
        <v>18633.681569594311</v>
      </c>
      <c r="F14" s="692">
        <f t="shared" ref="F14:F17" si="3">-PMT((1+B14)^(1/12)-1,$F$13*12,,$F$3,1)</f>
        <v>13270.85936035114</v>
      </c>
      <c r="L14" s="709" t="s">
        <v>39</v>
      </c>
      <c r="M14" s="709" t="s">
        <v>40</v>
      </c>
      <c r="S14" s="799"/>
      <c r="T14" s="799"/>
      <c r="U14" s="799"/>
      <c r="V14" s="799"/>
    </row>
    <row r="15" spans="1:22" ht="16.05" customHeight="1">
      <c r="B15" s="693">
        <f>O2</f>
        <v>0.06</v>
      </c>
      <c r="C15" s="694">
        <f t="shared" si="0"/>
        <v>42247.933375592962</v>
      </c>
      <c r="D15" s="694">
        <f t="shared" si="1"/>
        <v>23924.302588226365</v>
      </c>
      <c r="E15" s="694">
        <f t="shared" si="2"/>
        <v>15138.029003849728</v>
      </c>
      <c r="F15" s="694">
        <f t="shared" si="3"/>
        <v>10149.754847112334</v>
      </c>
      <c r="L15" s="710">
        <f>O5</f>
        <v>27815.969896228758</v>
      </c>
      <c r="M15" s="710">
        <f>F6</f>
        <v>16116.803850738457</v>
      </c>
      <c r="S15" s="799"/>
      <c r="T15" s="799"/>
      <c r="U15" s="799"/>
      <c r="V15" s="799"/>
    </row>
    <row r="16" spans="1:22" ht="16.05" customHeight="1">
      <c r="B16" s="695">
        <f>F4*(1-10.4%)</f>
        <v>0.10752</v>
      </c>
      <c r="C16" s="696">
        <f t="shared" si="0"/>
        <v>32900.312258984246</v>
      </c>
      <c r="D16" s="696">
        <f t="shared" si="1"/>
        <v>16116.803850738457</v>
      </c>
      <c r="E16" s="696">
        <f t="shared" si="2"/>
        <v>8711.5859299434123</v>
      </c>
      <c r="F16" s="696">
        <f t="shared" si="3"/>
        <v>4933.9920972192886</v>
      </c>
      <c r="S16" s="799"/>
      <c r="T16" s="799"/>
      <c r="U16" s="799"/>
      <c r="V16" s="799"/>
    </row>
    <row r="17" spans="2:22" ht="16.05" customHeight="1">
      <c r="B17" s="697">
        <v>0.08</v>
      </c>
      <c r="C17" s="698">
        <f t="shared" si="0"/>
        <v>38048.638376900606</v>
      </c>
      <c r="D17" s="698">
        <f t="shared" si="1"/>
        <v>20300.22332927708</v>
      </c>
      <c r="E17" s="698">
        <f t="shared" si="2"/>
        <v>12044.805878502788</v>
      </c>
      <c r="F17" s="698">
        <f t="shared" si="3"/>
        <v>7539.6606205473872</v>
      </c>
      <c r="S17" s="799"/>
      <c r="T17" s="799"/>
      <c r="U17" s="799"/>
      <c r="V17" s="799"/>
    </row>
    <row r="18" spans="2:22" ht="16.05" customHeight="1">
      <c r="B18" s="697">
        <v>0.1</v>
      </c>
      <c r="C18" s="698">
        <f t="shared" ref="C18:C22" si="4">IF($C$13&lt;=0,0,-PMT((1+B18)^(1/12)-1,$C$13*12,,$F$3,1))</f>
        <v>34238.365194783619</v>
      </c>
      <c r="D18" s="698">
        <f t="shared" ref="D18:D22" si="5">-PMT((1+B18)^(1/12)-1,$D$13*12,,$F$3,1)</f>
        <v>17174.338756601563</v>
      </c>
      <c r="E18" s="698">
        <f t="shared" ref="E18:E22" si="6">-PMT((1+B18)^(1/12)-1,$E$13*12,,$F$3,1)</f>
        <v>9527.2172602571045</v>
      </c>
      <c r="F18" s="698">
        <f t="shared" ref="F18:F22" si="7">-PMT((1+B18)^(1/12)-1,$F$13*12,,$F$3,1)</f>
        <v>5548.4258186713396</v>
      </c>
      <c r="S18" s="799"/>
      <c r="T18" s="799"/>
      <c r="U18" s="799"/>
      <c r="V18" s="799"/>
    </row>
    <row r="19" spans="2:22" ht="16.05" customHeight="1">
      <c r="B19" s="697">
        <v>0.12</v>
      </c>
      <c r="C19" s="698">
        <f t="shared" si="4"/>
        <v>30787.829866685464</v>
      </c>
      <c r="D19" s="698">
        <f t="shared" si="5"/>
        <v>14492.800565053802</v>
      </c>
      <c r="E19" s="698">
        <f t="shared" si="6"/>
        <v>7498.5309501008678</v>
      </c>
      <c r="F19" s="698">
        <f t="shared" si="7"/>
        <v>4052.1397111781753</v>
      </c>
      <c r="S19" s="799"/>
      <c r="T19" s="799"/>
      <c r="U19" s="799"/>
      <c r="V19" s="799"/>
    </row>
    <row r="20" spans="2:22" ht="16.05" customHeight="1">
      <c r="B20" s="697">
        <v>0.15</v>
      </c>
      <c r="C20" s="698">
        <f t="shared" si="4"/>
        <v>26224.722213204335</v>
      </c>
      <c r="D20" s="698">
        <f t="shared" si="5"/>
        <v>11190.726625768159</v>
      </c>
      <c r="E20" s="698">
        <f t="shared" si="6"/>
        <v>5197.5863892328834</v>
      </c>
      <c r="F20" s="698">
        <f t="shared" si="7"/>
        <v>2502.2408020273192</v>
      </c>
      <c r="S20" s="799"/>
      <c r="T20" s="799"/>
      <c r="U20" s="799"/>
      <c r="V20" s="799"/>
    </row>
    <row r="21" spans="2:22" ht="16.05" customHeight="1">
      <c r="B21" s="697">
        <v>0.18</v>
      </c>
      <c r="C21" s="698">
        <f t="shared" si="4"/>
        <v>22316.479600900791</v>
      </c>
      <c r="D21" s="698">
        <f t="shared" si="5"/>
        <v>8610.0305703484955</v>
      </c>
      <c r="E21" s="698">
        <f t="shared" si="6"/>
        <v>3579.895460556796</v>
      </c>
      <c r="F21" s="698">
        <f t="shared" si="7"/>
        <v>1532.1292001528006</v>
      </c>
      <c r="K21" s="798"/>
      <c r="L21" s="798"/>
      <c r="M21" s="798"/>
      <c r="N21" s="798"/>
      <c r="O21" s="798"/>
      <c r="S21" s="799"/>
      <c r="T21" s="799"/>
      <c r="U21" s="799"/>
      <c r="V21" s="799"/>
    </row>
    <row r="22" spans="2:22" ht="16.05" customHeight="1">
      <c r="B22" s="697">
        <v>0.2</v>
      </c>
      <c r="C22" s="698">
        <f t="shared" si="4"/>
        <v>20032.989861697817</v>
      </c>
      <c r="D22" s="698">
        <f t="shared" si="5"/>
        <v>7219.1189952828763</v>
      </c>
      <c r="E22" s="698">
        <f t="shared" si="6"/>
        <v>2785.5567397188579</v>
      </c>
      <c r="F22" s="698">
        <f t="shared" si="7"/>
        <v>1101.8026655317342</v>
      </c>
      <c r="S22" s="799"/>
      <c r="T22" s="799"/>
      <c r="U22" s="799"/>
      <c r="V22" s="799"/>
    </row>
    <row r="23" spans="2:22" ht="16.05" customHeight="1">
      <c r="S23" s="799"/>
      <c r="T23" s="799"/>
      <c r="U23" s="799"/>
      <c r="V23" s="799"/>
    </row>
  </sheetData>
  <sheetProtection algorithmName="SHA-512" hashValue="wCn/PTZRdzphgBsamh6Z897A27ox8/1xHTVgtxNmlkU338ShZHyuu9XSJOtdEkABGWW5bVcsQ/it4mluho6Ddw==" saltValue="d/75cj00ByRSsYm4sssJpA==" spinCount="100000" sheet="1" objects="1"/>
  <mergeCells count="10">
    <mergeCell ref="B1:F1"/>
    <mergeCell ref="J1:O1"/>
    <mergeCell ref="B4:E4"/>
    <mergeCell ref="B5:E5"/>
    <mergeCell ref="B6:E6"/>
    <mergeCell ref="K21:L21"/>
    <mergeCell ref="M21:O21"/>
    <mergeCell ref="S9:V23"/>
    <mergeCell ref="B10:F11"/>
    <mergeCell ref="B8:F9"/>
  </mergeCells>
  <conditionalFormatting sqref="C17:F22">
    <cfRule type="cellIs" dxfId="62" priority="1" operator="equal">
      <formula>$F$6</formula>
    </cfRule>
  </conditionalFormatting>
  <dataValidations count="3">
    <dataValidation type="whole" operator="greaterThanOrEqual" allowBlank="1" showInputMessage="1" showErrorMessage="1" error="You have entered a wrong value." prompt="Enter any value which is greater than or equal to 1" sqref="D3" xr:uid="{00000000-0002-0000-0300-000000000000}">
      <formula1>1</formula1>
    </dataValidation>
    <dataValidation allowBlank="1" showInputMessage="1" showErrorMessage="1" error="You have entered a wrong value." sqref="F3" xr:uid="{00000000-0002-0000-0300-000001000000}"/>
    <dataValidation type="list" allowBlank="1" showInputMessage="1" showErrorMessage="1" sqref="O3" xr:uid="{00000000-0002-0000-0300-000002000000}">
      <formula1>"0%,5.20%,10.40%,15.60%,20.80%,26.00%,31.20%"</formula1>
    </dataValidation>
  </dataValidations>
  <pageMargins left="0.7" right="0.7" top="0.75" bottom="0.75" header="0.3" footer="0.3"/>
  <pageSetup scale="86" orientation="landscape"/>
  <colBreaks count="1" manualBreakCount="1">
    <brk id="18" max="1048575" man="1"/>
  </colBreaks>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A364"/>
  <sheetViews>
    <sheetView showGridLines="0" workbookViewId="0">
      <selection activeCell="C5" sqref="C5"/>
    </sheetView>
  </sheetViews>
  <sheetFormatPr defaultColWidth="0" defaultRowHeight="14.4" customHeight="1" zeroHeight="1"/>
  <cols>
    <col min="1" max="1" width="9.21875" style="589" customWidth="1"/>
    <col min="2" max="2" width="32.6640625" style="589" customWidth="1"/>
    <col min="3" max="3" width="16.44140625" style="589" customWidth="1"/>
    <col min="4" max="4" width="4.6640625" style="589" customWidth="1"/>
    <col min="5" max="5" width="32.6640625" style="589" customWidth="1"/>
    <col min="6" max="6" width="16.44140625" style="589" customWidth="1"/>
    <col min="7" max="7" width="9.21875" style="589" customWidth="1"/>
    <col min="8" max="8" width="2.33203125" style="589" hidden="1" customWidth="1"/>
    <col min="9" max="12" width="8.44140625" style="589" hidden="1" customWidth="1"/>
    <col min="13" max="13" width="14" style="589" hidden="1" customWidth="1"/>
    <col min="14" max="14" width="13.21875" style="589" hidden="1" customWidth="1"/>
    <col min="15" max="15" width="7.88671875" style="589" hidden="1" customWidth="1"/>
    <col min="16" max="16" width="6.44140625" style="589" hidden="1" customWidth="1"/>
    <col min="17" max="17" width="13.44140625" style="589" hidden="1" customWidth="1"/>
    <col min="18" max="18" width="10.33203125" style="589" hidden="1" customWidth="1"/>
    <col min="19" max="19" width="17.109375" style="589" hidden="1" customWidth="1"/>
    <col min="20" max="20" width="14.33203125" style="589" hidden="1" customWidth="1"/>
    <col min="21" max="21" width="2.88671875" style="589" hidden="1" customWidth="1"/>
    <col min="22" max="22" width="11.21875" style="589" hidden="1" customWidth="1"/>
    <col min="23" max="23" width="14.77734375" style="590" hidden="1" customWidth="1"/>
    <col min="24" max="24" width="11.21875" style="589" hidden="1" customWidth="1"/>
    <col min="25" max="25" width="2.88671875" style="589" hidden="1" customWidth="1"/>
    <col min="26" max="26" width="10.21875" style="589" hidden="1" customWidth="1"/>
    <col min="27" max="27" width="11.5546875" style="589" hidden="1" customWidth="1"/>
    <col min="28" max="16384" width="2.88671875" style="589" hidden="1"/>
  </cols>
  <sheetData>
    <row r="1" spans="1:27" ht="12" customHeight="1">
      <c r="A1" s="816" t="s">
        <v>41</v>
      </c>
      <c r="B1" s="816"/>
      <c r="C1" s="816"/>
      <c r="D1" s="816"/>
      <c r="E1" s="816"/>
      <c r="F1" s="816"/>
      <c r="G1" s="816"/>
      <c r="I1" s="647" t="s">
        <v>42</v>
      </c>
      <c r="J1" s="648" t="s">
        <v>43</v>
      </c>
      <c r="K1" s="648" t="s">
        <v>44</v>
      </c>
      <c r="L1" s="647" t="s">
        <v>45</v>
      </c>
      <c r="M1" s="649" t="s">
        <v>46</v>
      </c>
      <c r="N1" s="650" t="s">
        <v>47</v>
      </c>
      <c r="O1" s="651" t="s">
        <v>42</v>
      </c>
      <c r="P1" s="648" t="s">
        <v>43</v>
      </c>
      <c r="Q1" s="648" t="s">
        <v>44</v>
      </c>
      <c r="R1" s="647" t="s">
        <v>45</v>
      </c>
      <c r="S1" s="649" t="s">
        <v>46</v>
      </c>
      <c r="T1" s="650" t="s">
        <v>47</v>
      </c>
      <c r="V1" s="647" t="s">
        <v>48</v>
      </c>
      <c r="W1" s="662" t="s">
        <v>49</v>
      </c>
      <c r="X1" s="663" t="s">
        <v>50</v>
      </c>
    </row>
    <row r="2" spans="1:27" ht="12" customHeight="1">
      <c r="A2" s="816"/>
      <c r="B2" s="816"/>
      <c r="C2" s="816"/>
      <c r="D2" s="816"/>
      <c r="E2" s="816"/>
      <c r="F2" s="816"/>
      <c r="G2" s="816"/>
      <c r="I2" s="589">
        <v>0</v>
      </c>
      <c r="M2" s="652">
        <f>HOME_LOAN</f>
        <v>6500000</v>
      </c>
      <c r="N2" s="653" t="s">
        <v>44</v>
      </c>
      <c r="O2" s="589">
        <f>C10</f>
        <v>24</v>
      </c>
      <c r="S2" s="656">
        <f>VLOOKUP(C10,I2:M302,5,0)</f>
        <v>6012869.6111468105</v>
      </c>
      <c r="T2" s="653" t="s">
        <v>44</v>
      </c>
      <c r="Z2" s="589">
        <f>(F24*12)-C10</f>
        <v>156</v>
      </c>
      <c r="AA2" s="589">
        <f>INDEX(O2:O362,MATCH(TRUE,X2:X362,0))</f>
        <v>152</v>
      </c>
    </row>
    <row r="3" spans="1:27">
      <c r="A3" s="591"/>
      <c r="G3" s="592"/>
      <c r="I3" s="589">
        <v>1</v>
      </c>
      <c r="J3" s="654">
        <f t="shared" ref="J3:J66" si="0">$C$8</f>
        <v>62117.38548147284</v>
      </c>
      <c r="K3" s="655">
        <f t="shared" ref="K3:K66" si="1">M2*($C$6/12)</f>
        <v>43333.333333333336</v>
      </c>
      <c r="L3" s="654">
        <f>J3-K3</f>
        <v>18784.052148139504</v>
      </c>
      <c r="M3" s="656">
        <f>M2-L3</f>
        <v>6481215.9478518609</v>
      </c>
      <c r="N3" s="657">
        <f>K3</f>
        <v>43333.333333333336</v>
      </c>
      <c r="O3" s="589">
        <f>O2+1</f>
        <v>25</v>
      </c>
      <c r="P3" s="654">
        <f t="shared" ref="P3:P66" si="2">$C$15</f>
        <v>44901.623509645258</v>
      </c>
      <c r="Q3" s="664">
        <f t="shared" ref="Q3:Q66" si="3">S2*($C$6/12)</f>
        <v>40085.797407645405</v>
      </c>
      <c r="R3" s="654">
        <f>P3-Q3</f>
        <v>4815.8261019998536</v>
      </c>
      <c r="S3" s="656">
        <f>S2-R3</f>
        <v>6008053.7850448107</v>
      </c>
      <c r="T3" s="657">
        <f>Q3</f>
        <v>40085.797407645405</v>
      </c>
      <c r="V3" s="665">
        <f>C16</f>
        <v>17215.761971827582</v>
      </c>
      <c r="W3" s="590">
        <f>FV((1+Scenario1)^(1/12)-1,1,-V3,,1)</f>
        <v>17417.443193039515</v>
      </c>
      <c r="X3" s="589" t="b">
        <f>W3&gt;=S3</f>
        <v>0</v>
      </c>
      <c r="Z3" s="589">
        <f>QUOTIENT(Z2,12)</f>
        <v>13</v>
      </c>
      <c r="AA3" s="589">
        <f>QUOTIENT(AA2,12)</f>
        <v>12</v>
      </c>
    </row>
    <row r="4" spans="1:27" s="588" customFormat="1" ht="18" customHeight="1">
      <c r="A4" s="591"/>
      <c r="B4" s="593" t="s">
        <v>51</v>
      </c>
      <c r="E4" s="813" t="s">
        <v>52</v>
      </c>
      <c r="F4" s="814"/>
      <c r="G4" s="592"/>
      <c r="I4" s="588">
        <v>2</v>
      </c>
      <c r="J4" s="658">
        <f t="shared" si="0"/>
        <v>62117.38548147284</v>
      </c>
      <c r="K4" s="659">
        <f t="shared" si="1"/>
        <v>43208.106319012411</v>
      </c>
      <c r="L4" s="658">
        <f t="shared" ref="L4:L67" si="4">J4-K4</f>
        <v>18909.279162460429</v>
      </c>
      <c r="M4" s="660">
        <f t="shared" ref="M4:M67" si="5">M3-L4</f>
        <v>6462306.6686894009</v>
      </c>
      <c r="N4" s="661">
        <f>N3+K4</f>
        <v>86541.439652345754</v>
      </c>
      <c r="O4" s="588">
        <f t="shared" ref="O4:O67" si="6">O3+1</f>
        <v>26</v>
      </c>
      <c r="P4" s="658">
        <f t="shared" si="2"/>
        <v>44901.623509645258</v>
      </c>
      <c r="Q4" s="666">
        <f t="shared" si="3"/>
        <v>40053.691900298742</v>
      </c>
      <c r="R4" s="658">
        <f t="shared" ref="R4:R67" si="7">P4-Q4</f>
        <v>4847.9316093465168</v>
      </c>
      <c r="S4" s="660">
        <f t="shared" ref="S4:S67" si="8">S3-R4</f>
        <v>6003205.8534354642</v>
      </c>
      <c r="T4" s="661">
        <f>T3+Q4</f>
        <v>80139.489307944139</v>
      </c>
      <c r="V4" s="667">
        <f>V3</f>
        <v>17215.761971827582</v>
      </c>
      <c r="W4" s="590">
        <f t="shared" ref="W4:W67" si="9">FV((1+Scenario1)^(1/12)-1,1,-V4,-W3,1)</f>
        <v>35038.930286041752</v>
      </c>
      <c r="X4" s="588" t="b">
        <f t="shared" ref="X4:X67" si="10">W4&gt;=S4</f>
        <v>0</v>
      </c>
      <c r="Z4" s="588">
        <f>MOD(Z2,12)</f>
        <v>0</v>
      </c>
      <c r="AA4" s="588">
        <f>MOD(AA2,12)</f>
        <v>8</v>
      </c>
    </row>
    <row r="5" spans="1:27" s="588" customFormat="1" ht="18" customHeight="1">
      <c r="A5" s="591"/>
      <c r="B5" s="594" t="s">
        <v>53</v>
      </c>
      <c r="C5" s="595">
        <v>6500000</v>
      </c>
      <c r="D5" s="596"/>
      <c r="E5" s="597" t="str">
        <f>"@ THE END OF "&amp;$C$7&amp;" YEARS"</f>
        <v>@ THE END OF 15 YEARS</v>
      </c>
      <c r="F5" s="598"/>
      <c r="G5" s="592"/>
      <c r="I5" s="588">
        <v>3</v>
      </c>
      <c r="J5" s="658">
        <f t="shared" si="0"/>
        <v>62117.38548147284</v>
      </c>
      <c r="K5" s="659">
        <f t="shared" si="1"/>
        <v>43082.04445792934</v>
      </c>
      <c r="L5" s="658">
        <f t="shared" si="4"/>
        <v>19035.3410235435</v>
      </c>
      <c r="M5" s="660">
        <f t="shared" si="5"/>
        <v>6443271.327665857</v>
      </c>
      <c r="N5" s="661">
        <f t="shared" ref="N5:N68" si="11">N4+K5</f>
        <v>129623.48411027509</v>
      </c>
      <c r="O5" s="588">
        <f t="shared" si="6"/>
        <v>27</v>
      </c>
      <c r="P5" s="658">
        <f t="shared" si="2"/>
        <v>44901.623509645258</v>
      </c>
      <c r="Q5" s="666">
        <f t="shared" si="3"/>
        <v>40021.372356236432</v>
      </c>
      <c r="R5" s="658">
        <f t="shared" si="7"/>
        <v>4880.2511534088262</v>
      </c>
      <c r="S5" s="660">
        <f t="shared" si="8"/>
        <v>5998325.6022820557</v>
      </c>
      <c r="T5" s="661">
        <f t="shared" ref="T5:T68" si="12">T4+Q5</f>
        <v>120160.86166418057</v>
      </c>
      <c r="V5" s="667">
        <f t="shared" ref="V5:V68" si="13">V4</f>
        <v>17215.761971827582</v>
      </c>
      <c r="W5" s="590">
        <f t="shared" si="9"/>
        <v>52866.851636342777</v>
      </c>
      <c r="X5" s="588" t="b">
        <f t="shared" si="10"/>
        <v>0</v>
      </c>
      <c r="Z5" s="588" t="str">
        <f>IF(Z4&lt;&gt;0,Z3&amp;" yrs "&amp;Z4&amp;" mth",Z3&amp;" Yrs")</f>
        <v>13 Yrs</v>
      </c>
      <c r="AA5" s="588" t="str">
        <f>IF(AA4&lt;&gt;0,AA3&amp;" yrs "&amp;AA4&amp;" mth",AA3&amp;" Yrs")</f>
        <v>12 yrs 8 mth</v>
      </c>
    </row>
    <row r="6" spans="1:27" s="588" customFormat="1" ht="18" customHeight="1">
      <c r="A6" s="591"/>
      <c r="B6" s="594" t="s">
        <v>54</v>
      </c>
      <c r="C6" s="599">
        <v>0.08</v>
      </c>
      <c r="E6" s="600" t="s">
        <v>55</v>
      </c>
      <c r="F6" s="601">
        <f>$C$8*$C$7*12</f>
        <v>11181129.386665111</v>
      </c>
      <c r="G6" s="592"/>
      <c r="I6" s="588">
        <v>4</v>
      </c>
      <c r="J6" s="658">
        <f t="shared" si="0"/>
        <v>62117.38548147284</v>
      </c>
      <c r="K6" s="659">
        <f t="shared" si="1"/>
        <v>42955.14218443905</v>
      </c>
      <c r="L6" s="658">
        <f t="shared" si="4"/>
        <v>19162.24329703379</v>
      </c>
      <c r="M6" s="660">
        <f t="shared" si="5"/>
        <v>6424109.0843688231</v>
      </c>
      <c r="N6" s="661">
        <f t="shared" si="11"/>
        <v>172578.62629471414</v>
      </c>
      <c r="O6" s="588">
        <f t="shared" si="6"/>
        <v>28</v>
      </c>
      <c r="P6" s="658">
        <f t="shared" si="2"/>
        <v>44901.623509645258</v>
      </c>
      <c r="Q6" s="666">
        <f t="shared" si="3"/>
        <v>39988.837348547044</v>
      </c>
      <c r="R6" s="658">
        <f t="shared" si="7"/>
        <v>4912.7861610982145</v>
      </c>
      <c r="S6" s="660">
        <f t="shared" si="8"/>
        <v>5993412.816120957</v>
      </c>
      <c r="T6" s="661">
        <f t="shared" si="12"/>
        <v>160149.69901272762</v>
      </c>
      <c r="V6" s="667">
        <f t="shared" si="13"/>
        <v>17215.761971827582</v>
      </c>
      <c r="W6" s="590">
        <f t="shared" si="9"/>
        <v>70903.625604116271</v>
      </c>
      <c r="X6" s="588" t="b">
        <f t="shared" si="10"/>
        <v>0</v>
      </c>
    </row>
    <row r="7" spans="1:27" s="588" customFormat="1" ht="18" customHeight="1">
      <c r="A7" s="591"/>
      <c r="B7" s="594" t="s">
        <v>56</v>
      </c>
      <c r="C7" s="602">
        <v>15</v>
      </c>
      <c r="D7" s="771" t="s">
        <v>57</v>
      </c>
      <c r="E7" s="600" t="s">
        <v>58</v>
      </c>
      <c r="F7" s="603">
        <f>VLOOKUP(C7*12,I2:M362,5,0)</f>
        <v>3.1286617740988731E-10</v>
      </c>
      <c r="G7" s="592"/>
      <c r="I7" s="588">
        <v>5</v>
      </c>
      <c r="J7" s="658">
        <f t="shared" si="0"/>
        <v>62117.38548147284</v>
      </c>
      <c r="K7" s="659">
        <f t="shared" si="1"/>
        <v>42827.393895792156</v>
      </c>
      <c r="L7" s="658">
        <f t="shared" si="4"/>
        <v>19289.991585680684</v>
      </c>
      <c r="M7" s="660">
        <f t="shared" si="5"/>
        <v>6404819.0927831428</v>
      </c>
      <c r="N7" s="661">
        <f t="shared" si="11"/>
        <v>215406.0201905063</v>
      </c>
      <c r="O7" s="588">
        <f t="shared" si="6"/>
        <v>29</v>
      </c>
      <c r="P7" s="658">
        <f t="shared" si="2"/>
        <v>44901.623509645258</v>
      </c>
      <c r="Q7" s="666">
        <f t="shared" si="3"/>
        <v>39956.085440806382</v>
      </c>
      <c r="R7" s="658">
        <f t="shared" si="7"/>
        <v>4945.5380688388759</v>
      </c>
      <c r="S7" s="660">
        <f t="shared" si="8"/>
        <v>5988467.2780521186</v>
      </c>
      <c r="T7" s="661">
        <f t="shared" si="12"/>
        <v>200105.784453534</v>
      </c>
      <c r="V7" s="667">
        <f t="shared" si="13"/>
        <v>17215.761971827582</v>
      </c>
      <c r="W7" s="590">
        <f t="shared" si="9"/>
        <v>89151.698880424403</v>
      </c>
      <c r="X7" s="588" t="b">
        <f t="shared" si="10"/>
        <v>0</v>
      </c>
      <c r="Z7" s="588">
        <f>(C13*12)-C10</f>
        <v>336</v>
      </c>
    </row>
    <row r="8" spans="1:27" s="588" customFormat="1" ht="18" customHeight="1">
      <c r="A8" s="591"/>
      <c r="B8" s="604" t="s">
        <v>59</v>
      </c>
      <c r="C8" s="605">
        <f>PMT(C6/12,C7*12,-C5,,0)</f>
        <v>62117.38548147284</v>
      </c>
      <c r="E8" s="606" t="s">
        <v>60</v>
      </c>
      <c r="F8" s="607">
        <v>0</v>
      </c>
      <c r="G8" s="608"/>
      <c r="I8" s="588">
        <v>6</v>
      </c>
      <c r="J8" s="658">
        <f t="shared" si="0"/>
        <v>62117.38548147284</v>
      </c>
      <c r="K8" s="659">
        <f t="shared" si="1"/>
        <v>42698.793951887623</v>
      </c>
      <c r="L8" s="658">
        <f t="shared" si="4"/>
        <v>19418.591529585217</v>
      </c>
      <c r="M8" s="660">
        <f t="shared" si="5"/>
        <v>6385400.5012535574</v>
      </c>
      <c r="N8" s="661">
        <f t="shared" si="11"/>
        <v>258104.81414239394</v>
      </c>
      <c r="O8" s="588">
        <f t="shared" si="6"/>
        <v>30</v>
      </c>
      <c r="P8" s="658">
        <f t="shared" si="2"/>
        <v>44901.623509645258</v>
      </c>
      <c r="Q8" s="666">
        <f t="shared" si="3"/>
        <v>39923.115187014126</v>
      </c>
      <c r="R8" s="658">
        <f t="shared" si="7"/>
        <v>4978.5083226311326</v>
      </c>
      <c r="S8" s="660">
        <f t="shared" si="8"/>
        <v>5983488.7697294876</v>
      </c>
      <c r="T8" s="661">
        <f t="shared" si="12"/>
        <v>240028.89964054813</v>
      </c>
      <c r="V8" s="667">
        <f t="shared" si="13"/>
        <v>17215.761971827582</v>
      </c>
      <c r="W8" s="590">
        <f t="shared" si="9"/>
        <v>107613.54681911189</v>
      </c>
      <c r="X8" s="588" t="b">
        <f t="shared" si="10"/>
        <v>0</v>
      </c>
      <c r="Z8" s="588">
        <f>QUOTIENT(Z7,12)</f>
        <v>28</v>
      </c>
    </row>
    <row r="9" spans="1:27" s="588" customFormat="1" ht="8.1" customHeight="1">
      <c r="A9" s="591"/>
      <c r="C9" s="609"/>
      <c r="G9" s="610"/>
      <c r="I9" s="588">
        <v>7</v>
      </c>
      <c r="J9" s="658">
        <f t="shared" si="0"/>
        <v>62117.38548147284</v>
      </c>
      <c r="K9" s="659">
        <f t="shared" si="1"/>
        <v>42569.336675023718</v>
      </c>
      <c r="L9" s="658">
        <f t="shared" si="4"/>
        <v>19548.048806449122</v>
      </c>
      <c r="M9" s="660">
        <f t="shared" si="5"/>
        <v>6365852.452447108</v>
      </c>
      <c r="N9" s="661">
        <f t="shared" si="11"/>
        <v>300674.15081741766</v>
      </c>
      <c r="O9" s="588">
        <f t="shared" si="6"/>
        <v>31</v>
      </c>
      <c r="P9" s="658">
        <f t="shared" si="2"/>
        <v>44901.623509645258</v>
      </c>
      <c r="Q9" s="666">
        <f t="shared" si="3"/>
        <v>39889.925131529919</v>
      </c>
      <c r="R9" s="658">
        <f t="shared" si="7"/>
        <v>5011.6983781153394</v>
      </c>
      <c r="S9" s="660">
        <f t="shared" si="8"/>
        <v>5978477.0713513726</v>
      </c>
      <c r="T9" s="661">
        <f t="shared" si="12"/>
        <v>279918.82477207808</v>
      </c>
      <c r="V9" s="667">
        <f t="shared" si="13"/>
        <v>17215.761971827582</v>
      </c>
      <c r="W9" s="590">
        <f t="shared" si="9"/>
        <v>126291.67377258805</v>
      </c>
      <c r="X9" s="588" t="b">
        <f t="shared" si="10"/>
        <v>0</v>
      </c>
      <c r="Z9" s="588">
        <f>MOD(Z7,12)</f>
        <v>0</v>
      </c>
    </row>
    <row r="10" spans="1:27" s="588" customFormat="1" ht="18" customHeight="1">
      <c r="A10" s="611"/>
      <c r="B10" s="594" t="s">
        <v>61</v>
      </c>
      <c r="C10" s="612">
        <v>24</v>
      </c>
      <c r="D10" s="771" t="s">
        <v>62</v>
      </c>
      <c r="E10" s="813" t="s">
        <v>63</v>
      </c>
      <c r="F10" s="814"/>
      <c r="G10" s="613"/>
      <c r="I10" s="588">
        <v>8</v>
      </c>
      <c r="J10" s="658">
        <f t="shared" si="0"/>
        <v>62117.38548147284</v>
      </c>
      <c r="K10" s="659">
        <f t="shared" si="1"/>
        <v>42439.016349647391</v>
      </c>
      <c r="L10" s="658">
        <f t="shared" si="4"/>
        <v>19678.36913182545</v>
      </c>
      <c r="M10" s="660">
        <f t="shared" si="5"/>
        <v>6346174.0833152821</v>
      </c>
      <c r="N10" s="661">
        <f t="shared" si="11"/>
        <v>343113.16716706502</v>
      </c>
      <c r="O10" s="588">
        <f t="shared" si="6"/>
        <v>32</v>
      </c>
      <c r="P10" s="658">
        <f t="shared" si="2"/>
        <v>44901.623509645258</v>
      </c>
      <c r="Q10" s="666">
        <f t="shared" si="3"/>
        <v>39856.513809009157</v>
      </c>
      <c r="R10" s="658">
        <f t="shared" si="7"/>
        <v>5045.1097006361015</v>
      </c>
      <c r="S10" s="660">
        <f t="shared" si="8"/>
        <v>5973431.9616507366</v>
      </c>
      <c r="T10" s="661">
        <f t="shared" si="12"/>
        <v>319775.33858108724</v>
      </c>
      <c r="V10" s="667">
        <f t="shared" si="13"/>
        <v>17215.761971827582</v>
      </c>
      <c r="W10" s="590">
        <f t="shared" si="9"/>
        <v>145188.61343154268</v>
      </c>
      <c r="X10" s="588" t="b">
        <f t="shared" si="10"/>
        <v>0</v>
      </c>
      <c r="Z10" s="588" t="str">
        <f>IF(Z9&lt;&gt;0,Z8&amp;" yrs "&amp;Z9&amp;" mth",Z8&amp;" Yrs")</f>
        <v>28 Yrs</v>
      </c>
    </row>
    <row r="11" spans="1:27" s="588" customFormat="1" ht="18" customHeight="1">
      <c r="A11" s="611"/>
      <c r="B11" s="614" t="str">
        <f>IF(OR(C10=0,ISBLANK(C10)),"PRINCIPAL O/S","PRINCIPAL O/S AFTER "&amp;C10&amp;" MONTH(S)")</f>
        <v>PRINCIPAL O/S AFTER 24 MONTH(S)</v>
      </c>
      <c r="C11" s="615">
        <f>VLOOKUP(C10,I2:M362,5,0)</f>
        <v>6012869.6111468105</v>
      </c>
      <c r="D11" s="596"/>
      <c r="E11" s="597" t="str">
        <f>"@ THE END OF "&amp;$C$7&amp;" YEARS"</f>
        <v>@ THE END OF 15 YEARS</v>
      </c>
      <c r="F11" s="616"/>
      <c r="G11" s="613"/>
      <c r="I11" s="588">
        <v>9</v>
      </c>
      <c r="J11" s="658">
        <f t="shared" si="0"/>
        <v>62117.38548147284</v>
      </c>
      <c r="K11" s="659">
        <f t="shared" si="1"/>
        <v>42307.827222101885</v>
      </c>
      <c r="L11" s="658">
        <f t="shared" si="4"/>
        <v>19809.558259370955</v>
      </c>
      <c r="M11" s="660">
        <f t="shared" si="5"/>
        <v>6326364.5250559114</v>
      </c>
      <c r="N11" s="661">
        <f t="shared" si="11"/>
        <v>385420.99438916694</v>
      </c>
      <c r="O11" s="588">
        <f t="shared" si="6"/>
        <v>33</v>
      </c>
      <c r="P11" s="658">
        <f t="shared" si="2"/>
        <v>44901.623509645258</v>
      </c>
      <c r="Q11" s="666">
        <f t="shared" si="3"/>
        <v>39822.87974433825</v>
      </c>
      <c r="R11" s="658">
        <f t="shared" si="7"/>
        <v>5078.7437653070083</v>
      </c>
      <c r="S11" s="660">
        <f t="shared" si="8"/>
        <v>5968353.21788543</v>
      </c>
      <c r="T11" s="661">
        <f t="shared" si="12"/>
        <v>359598.21832542552</v>
      </c>
      <c r="V11" s="667">
        <f t="shared" si="13"/>
        <v>17215.761971827582</v>
      </c>
      <c r="W11" s="590">
        <f t="shared" si="9"/>
        <v>164306.92916864142</v>
      </c>
      <c r="X11" s="588" t="b">
        <f t="shared" si="10"/>
        <v>0</v>
      </c>
    </row>
    <row r="12" spans="1:27" s="588" customFormat="1" ht="18" customHeight="1">
      <c r="A12" s="611"/>
      <c r="C12" s="609"/>
      <c r="E12" s="600" t="s">
        <v>55</v>
      </c>
      <c r="F12" s="601">
        <f>C7*12*(C15+C16)</f>
        <v>11181129.386665111</v>
      </c>
      <c r="G12" s="613"/>
      <c r="I12" s="588">
        <v>10</v>
      </c>
      <c r="J12" s="658">
        <f t="shared" si="0"/>
        <v>62117.38548147284</v>
      </c>
      <c r="K12" s="659">
        <f t="shared" si="1"/>
        <v>42175.763500372748</v>
      </c>
      <c r="L12" s="658">
        <f t="shared" si="4"/>
        <v>19941.621981100092</v>
      </c>
      <c r="M12" s="660">
        <f t="shared" si="5"/>
        <v>6306422.9030748112</v>
      </c>
      <c r="N12" s="661">
        <f t="shared" si="11"/>
        <v>427596.7578895397</v>
      </c>
      <c r="O12" s="588">
        <f t="shared" si="6"/>
        <v>34</v>
      </c>
      <c r="P12" s="658">
        <f t="shared" si="2"/>
        <v>44901.623509645258</v>
      </c>
      <c r="Q12" s="666">
        <f t="shared" si="3"/>
        <v>39789.021452569534</v>
      </c>
      <c r="R12" s="658">
        <f t="shared" si="7"/>
        <v>5112.6020570757246</v>
      </c>
      <c r="S12" s="660">
        <f t="shared" si="8"/>
        <v>5963240.6158283539</v>
      </c>
      <c r="T12" s="661">
        <f t="shared" si="12"/>
        <v>399387.23977799504</v>
      </c>
      <c r="V12" s="667">
        <f t="shared" si="13"/>
        <v>17215.761971827582</v>
      </c>
      <c r="W12" s="590">
        <f t="shared" si="9"/>
        <v>183649.2143862478</v>
      </c>
      <c r="X12" s="588" t="b">
        <f t="shared" si="10"/>
        <v>0</v>
      </c>
      <c r="Z12" s="588">
        <f>(C7*12)-C10</f>
        <v>156</v>
      </c>
    </row>
    <row r="13" spans="1:27" s="588" customFormat="1" ht="18" customHeight="1">
      <c r="A13" s="611"/>
      <c r="B13" s="594" t="s">
        <v>64</v>
      </c>
      <c r="C13" s="617">
        <v>30</v>
      </c>
      <c r="D13" s="618"/>
      <c r="E13" s="600" t="s">
        <v>58</v>
      </c>
      <c r="F13" s="601">
        <f>VLOOKUP(C7*12,O2:T362,5,0)</f>
        <v>4698532.4728411948</v>
      </c>
      <c r="G13" s="613"/>
      <c r="I13" s="588">
        <v>11</v>
      </c>
      <c r="J13" s="658">
        <f t="shared" si="0"/>
        <v>62117.38548147284</v>
      </c>
      <c r="K13" s="659">
        <f t="shared" si="1"/>
        <v>42042.819353832077</v>
      </c>
      <c r="L13" s="658">
        <f t="shared" si="4"/>
        <v>20074.566127640763</v>
      </c>
      <c r="M13" s="660">
        <f t="shared" si="5"/>
        <v>6286348.3369471701</v>
      </c>
      <c r="N13" s="661">
        <f t="shared" si="11"/>
        <v>469639.57724337175</v>
      </c>
      <c r="O13" s="588">
        <f t="shared" si="6"/>
        <v>35</v>
      </c>
      <c r="P13" s="658">
        <f t="shared" si="2"/>
        <v>44901.623509645258</v>
      </c>
      <c r="Q13" s="666">
        <f t="shared" si="3"/>
        <v>39754.937438855697</v>
      </c>
      <c r="R13" s="658">
        <f t="shared" si="7"/>
        <v>5146.6860707895612</v>
      </c>
      <c r="S13" s="660">
        <f t="shared" si="8"/>
        <v>5958093.9297575643</v>
      </c>
      <c r="T13" s="661">
        <f t="shared" si="12"/>
        <v>439142.17721685075</v>
      </c>
      <c r="V13" s="667">
        <f t="shared" si="13"/>
        <v>17215.761971827582</v>
      </c>
      <c r="W13" s="590">
        <f t="shared" si="9"/>
        <v>203218.09286821855</v>
      </c>
      <c r="X13" s="588" t="b">
        <f t="shared" si="10"/>
        <v>0</v>
      </c>
      <c r="Z13" s="588">
        <f>QUOTIENT(Z12,12)</f>
        <v>13</v>
      </c>
    </row>
    <row r="14" spans="1:27" s="588" customFormat="1" ht="18" customHeight="1">
      <c r="A14" s="611"/>
      <c r="B14" s="619" t="s">
        <v>65</v>
      </c>
      <c r="C14" s="620" t="str">
        <f>Z10</f>
        <v>28 Yrs</v>
      </c>
      <c r="D14" s="621"/>
      <c r="E14" s="600" t="s">
        <v>60</v>
      </c>
      <c r="F14" s="601">
        <f>VLOOKUP(C7*12,O2:W362,9,0)</f>
        <v>7661034.755406864</v>
      </c>
      <c r="G14" s="613"/>
      <c r="I14" s="588">
        <v>12</v>
      </c>
      <c r="J14" s="658">
        <f t="shared" si="0"/>
        <v>62117.38548147284</v>
      </c>
      <c r="K14" s="659">
        <f t="shared" si="1"/>
        <v>41908.988912981134</v>
      </c>
      <c r="L14" s="658">
        <f t="shared" si="4"/>
        <v>20208.396568491706</v>
      </c>
      <c r="M14" s="660">
        <f t="shared" si="5"/>
        <v>6266139.940378678</v>
      </c>
      <c r="N14" s="661">
        <f t="shared" si="11"/>
        <v>511548.56615635287</v>
      </c>
      <c r="O14" s="588">
        <f t="shared" si="6"/>
        <v>36</v>
      </c>
      <c r="P14" s="658">
        <f t="shared" si="2"/>
        <v>44901.623509645258</v>
      </c>
      <c r="Q14" s="666">
        <f t="shared" si="3"/>
        <v>39720.626198383761</v>
      </c>
      <c r="R14" s="658">
        <f t="shared" si="7"/>
        <v>5180.9973112614971</v>
      </c>
      <c r="S14" s="660">
        <f t="shared" si="8"/>
        <v>5952912.9324463028</v>
      </c>
      <c r="T14" s="661">
        <f t="shared" si="12"/>
        <v>478862.80341523449</v>
      </c>
      <c r="V14" s="667">
        <f t="shared" si="13"/>
        <v>17215.761971827582</v>
      </c>
      <c r="W14" s="590">
        <f t="shared" si="9"/>
        <v>223016.21913582028</v>
      </c>
      <c r="X14" s="588" t="b">
        <f t="shared" si="10"/>
        <v>0</v>
      </c>
      <c r="Z14" s="588">
        <f>MOD(Z12,12)</f>
        <v>0</v>
      </c>
    </row>
    <row r="15" spans="1:27" s="588" customFormat="1" ht="18" customHeight="1">
      <c r="A15" s="611"/>
      <c r="B15" s="604" t="s">
        <v>66</v>
      </c>
      <c r="C15" s="605">
        <f>PMT(C6/12,(C13*12)-C10,-VLOOKUP(C10,I2:M362,5,0),,0)</f>
        <v>44901.623509645258</v>
      </c>
      <c r="D15" s="621"/>
      <c r="E15" s="622" t="str">
        <f>"NET WEALTH AFTER "&amp;$C$7&amp;" YEARS"</f>
        <v>NET WEALTH AFTER 15 YEARS</v>
      </c>
      <c r="F15" s="623">
        <f>F14-F13</f>
        <v>2962502.2825656692</v>
      </c>
      <c r="G15" s="613"/>
      <c r="I15" s="588">
        <v>13</v>
      </c>
      <c r="J15" s="658">
        <f t="shared" si="0"/>
        <v>62117.38548147284</v>
      </c>
      <c r="K15" s="659">
        <f t="shared" si="1"/>
        <v>41774.26626919119</v>
      </c>
      <c r="L15" s="658">
        <f t="shared" si="4"/>
        <v>20343.11921228165</v>
      </c>
      <c r="M15" s="660">
        <f t="shared" si="5"/>
        <v>6245796.8211663961</v>
      </c>
      <c r="N15" s="661">
        <f t="shared" si="11"/>
        <v>553322.83242554404</v>
      </c>
      <c r="O15" s="588">
        <f t="shared" si="6"/>
        <v>37</v>
      </c>
      <c r="P15" s="658">
        <f t="shared" si="2"/>
        <v>44901.623509645258</v>
      </c>
      <c r="Q15" s="666">
        <f t="shared" si="3"/>
        <v>39686.086216308686</v>
      </c>
      <c r="R15" s="658">
        <f t="shared" si="7"/>
        <v>5215.5372933365725</v>
      </c>
      <c r="S15" s="660">
        <f t="shared" si="8"/>
        <v>5947697.3951529665</v>
      </c>
      <c r="T15" s="661">
        <f t="shared" si="12"/>
        <v>518548.88963154319</v>
      </c>
      <c r="V15" s="667">
        <f t="shared" si="13"/>
        <v>17215.761971827582</v>
      </c>
      <c r="W15" s="590">
        <f t="shared" si="9"/>
        <v>243046.27880781575</v>
      </c>
      <c r="X15" s="588" t="b">
        <f t="shared" si="10"/>
        <v>0</v>
      </c>
      <c r="Z15" s="588" t="str">
        <f>IF(Z14&lt;&gt;0,Z13&amp;" yrs "&amp;Z14&amp;" mth",Z13&amp;" Yrs")</f>
        <v>13 Yrs</v>
      </c>
    </row>
    <row r="16" spans="1:27" s="588" customFormat="1" ht="18" customHeight="1">
      <c r="A16" s="611"/>
      <c r="B16" s="619" t="s">
        <v>67</v>
      </c>
      <c r="C16" s="624">
        <f>C8-C15</f>
        <v>17215.761971827582</v>
      </c>
      <c r="D16" s="621"/>
      <c r="G16" s="613"/>
      <c r="I16" s="588">
        <v>14</v>
      </c>
      <c r="J16" s="658">
        <f t="shared" si="0"/>
        <v>62117.38548147284</v>
      </c>
      <c r="K16" s="659">
        <f t="shared" si="1"/>
        <v>41638.645474442645</v>
      </c>
      <c r="L16" s="658">
        <f t="shared" si="4"/>
        <v>20478.740007030196</v>
      </c>
      <c r="M16" s="660">
        <f t="shared" si="5"/>
        <v>6225318.0811593663</v>
      </c>
      <c r="N16" s="661">
        <f t="shared" si="11"/>
        <v>594961.47789998667</v>
      </c>
      <c r="O16" s="588">
        <f t="shared" si="6"/>
        <v>38</v>
      </c>
      <c r="P16" s="658">
        <f t="shared" si="2"/>
        <v>44901.623509645258</v>
      </c>
      <c r="Q16" s="666">
        <f t="shared" si="3"/>
        <v>39651.315967686445</v>
      </c>
      <c r="R16" s="658">
        <f t="shared" si="7"/>
        <v>5250.3075419588131</v>
      </c>
      <c r="S16" s="660">
        <f t="shared" si="8"/>
        <v>5942447.0876110075</v>
      </c>
      <c r="T16" s="661">
        <f t="shared" si="12"/>
        <v>558200.20559922967</v>
      </c>
      <c r="V16" s="667">
        <f t="shared" si="13"/>
        <v>17215.761971827582</v>
      </c>
      <c r="W16" s="590">
        <f t="shared" si="9"/>
        <v>263310.98896476836</v>
      </c>
      <c r="X16" s="588" t="b">
        <f t="shared" si="10"/>
        <v>0</v>
      </c>
    </row>
    <row r="17" spans="1:26" s="588" customFormat="1" ht="18" customHeight="1">
      <c r="A17" s="611"/>
      <c r="B17" s="619" t="s">
        <v>68</v>
      </c>
      <c r="C17" s="620" t="str">
        <f>Z15</f>
        <v>13 Yrs</v>
      </c>
      <c r="D17" s="621"/>
      <c r="G17" s="613"/>
      <c r="I17" s="588">
        <v>15</v>
      </c>
      <c r="J17" s="658">
        <f t="shared" si="0"/>
        <v>62117.38548147284</v>
      </c>
      <c r="K17" s="659">
        <f t="shared" si="1"/>
        <v>41502.120541062446</v>
      </c>
      <c r="L17" s="658">
        <f t="shared" si="4"/>
        <v>20615.264940410394</v>
      </c>
      <c r="M17" s="660">
        <f t="shared" si="5"/>
        <v>6204702.8162189554</v>
      </c>
      <c r="N17" s="661">
        <f t="shared" si="11"/>
        <v>636463.59844104911</v>
      </c>
      <c r="O17" s="588">
        <f t="shared" si="6"/>
        <v>39</v>
      </c>
      <c r="P17" s="658">
        <f t="shared" si="2"/>
        <v>44901.623509645258</v>
      </c>
      <c r="Q17" s="666">
        <f t="shared" si="3"/>
        <v>39616.313917406718</v>
      </c>
      <c r="R17" s="658">
        <f t="shared" si="7"/>
        <v>5285.3095922385401</v>
      </c>
      <c r="S17" s="660">
        <f t="shared" si="8"/>
        <v>5937161.7780187689</v>
      </c>
      <c r="T17" s="661">
        <f t="shared" si="12"/>
        <v>597816.51951663638</v>
      </c>
      <c r="V17" s="667">
        <f t="shared" si="13"/>
        <v>17215.761971827582</v>
      </c>
      <c r="W17" s="590">
        <f t="shared" si="9"/>
        <v>283813.09851761453</v>
      </c>
      <c r="X17" s="588" t="b">
        <f t="shared" si="10"/>
        <v>0</v>
      </c>
      <c r="Z17" s="588">
        <f>INDEX(O2:O362,MATCH(TRUE,X2:X362,0))</f>
        <v>152</v>
      </c>
    </row>
    <row r="18" spans="1:26" s="588" customFormat="1" ht="18" customHeight="1">
      <c r="A18" s="611"/>
      <c r="B18" s="625" t="s">
        <v>69</v>
      </c>
      <c r="C18" s="626">
        <v>0.15</v>
      </c>
      <c r="D18" s="621"/>
      <c r="E18" s="627" t="s">
        <v>70</v>
      </c>
      <c r="F18" s="628" t="str">
        <f>Z20</f>
        <v>12 yrs 8 mth</v>
      </c>
      <c r="G18" s="613"/>
      <c r="I18" s="588">
        <v>16</v>
      </c>
      <c r="J18" s="658">
        <f t="shared" si="0"/>
        <v>62117.38548147284</v>
      </c>
      <c r="K18" s="659">
        <f t="shared" si="1"/>
        <v>41364.685441459704</v>
      </c>
      <c r="L18" s="658">
        <f t="shared" si="4"/>
        <v>20752.700040013136</v>
      </c>
      <c r="M18" s="660">
        <f t="shared" si="5"/>
        <v>6183950.1161789419</v>
      </c>
      <c r="N18" s="661">
        <f t="shared" si="11"/>
        <v>677828.28388250875</v>
      </c>
      <c r="O18" s="588">
        <f t="shared" si="6"/>
        <v>40</v>
      </c>
      <c r="P18" s="658">
        <f t="shared" si="2"/>
        <v>44901.623509645258</v>
      </c>
      <c r="Q18" s="666">
        <f t="shared" si="3"/>
        <v>39581.078520125127</v>
      </c>
      <c r="R18" s="658">
        <f t="shared" si="7"/>
        <v>5320.5449895201309</v>
      </c>
      <c r="S18" s="660">
        <f t="shared" si="8"/>
        <v>5931841.2330292491</v>
      </c>
      <c r="T18" s="661">
        <f t="shared" si="12"/>
        <v>637397.59803676151</v>
      </c>
      <c r="V18" s="667">
        <f t="shared" si="13"/>
        <v>17215.761971827582</v>
      </c>
      <c r="W18" s="590">
        <f t="shared" si="9"/>
        <v>304555.38858055405</v>
      </c>
      <c r="X18" s="588" t="b">
        <f t="shared" si="10"/>
        <v>0</v>
      </c>
      <c r="Z18" s="588">
        <f>QUOTIENT(Z17,12)</f>
        <v>12</v>
      </c>
    </row>
    <row r="19" spans="1:26" ht="14.4" customHeight="1">
      <c r="A19" s="457"/>
      <c r="B19" s="815"/>
      <c r="C19" s="815"/>
      <c r="D19" s="815"/>
      <c r="E19" s="815"/>
      <c r="F19" s="815"/>
      <c r="G19" s="459"/>
      <c r="I19" s="589">
        <v>17</v>
      </c>
      <c r="J19" s="654">
        <f t="shared" si="0"/>
        <v>62117.38548147284</v>
      </c>
      <c r="K19" s="655">
        <f t="shared" si="1"/>
        <v>41226.334107859613</v>
      </c>
      <c r="L19" s="654">
        <f t="shared" si="4"/>
        <v>20891.051373613227</v>
      </c>
      <c r="M19" s="656">
        <f t="shared" si="5"/>
        <v>6163059.0648053288</v>
      </c>
      <c r="N19" s="657">
        <f t="shared" si="11"/>
        <v>719054.6179903684</v>
      </c>
      <c r="O19" s="589">
        <f t="shared" si="6"/>
        <v>41</v>
      </c>
      <c r="P19" s="654">
        <f t="shared" si="2"/>
        <v>44901.623509645258</v>
      </c>
      <c r="Q19" s="664">
        <f t="shared" si="3"/>
        <v>39545.608220194998</v>
      </c>
      <c r="R19" s="654">
        <f t="shared" si="7"/>
        <v>5356.0152894502608</v>
      </c>
      <c r="S19" s="656">
        <f t="shared" si="8"/>
        <v>5926485.2177397991</v>
      </c>
      <c r="T19" s="657">
        <f t="shared" si="12"/>
        <v>676943.20625695656</v>
      </c>
      <c r="V19" s="665">
        <f t="shared" si="13"/>
        <v>17215.761971827582</v>
      </c>
      <c r="W19" s="590">
        <f t="shared" si="9"/>
        <v>325540.6728483084</v>
      </c>
      <c r="X19" s="589" t="b">
        <f t="shared" si="10"/>
        <v>0</v>
      </c>
      <c r="Z19" s="589">
        <f>MOD(Z17,12)</f>
        <v>8</v>
      </c>
    </row>
    <row r="20" spans="1:26" ht="12" hidden="1" customHeight="1">
      <c r="A20" s="447"/>
      <c r="D20" s="456"/>
      <c r="G20" s="445"/>
      <c r="I20" s="589">
        <v>18</v>
      </c>
      <c r="J20" s="654">
        <f t="shared" si="0"/>
        <v>62117.38548147284</v>
      </c>
      <c r="K20" s="655">
        <f t="shared" si="1"/>
        <v>41087.060432035527</v>
      </c>
      <c r="L20" s="654">
        <f t="shared" si="4"/>
        <v>21030.325049437313</v>
      </c>
      <c r="M20" s="656">
        <f t="shared" si="5"/>
        <v>6142028.7397558913</v>
      </c>
      <c r="N20" s="657">
        <f t="shared" si="11"/>
        <v>760141.67842240387</v>
      </c>
      <c r="O20" s="589">
        <f t="shared" si="6"/>
        <v>42</v>
      </c>
      <c r="P20" s="654">
        <f t="shared" si="2"/>
        <v>44901.623509645258</v>
      </c>
      <c r="Q20" s="664">
        <f t="shared" si="3"/>
        <v>39509.901451598664</v>
      </c>
      <c r="R20" s="654">
        <f t="shared" si="7"/>
        <v>5391.7220580465946</v>
      </c>
      <c r="S20" s="656">
        <f t="shared" si="8"/>
        <v>5921093.4956817525</v>
      </c>
      <c r="T20" s="657">
        <f t="shared" si="12"/>
        <v>716453.10770855518</v>
      </c>
      <c r="V20" s="665">
        <f t="shared" si="13"/>
        <v>17215.761971827582</v>
      </c>
      <c r="W20" s="590">
        <f t="shared" si="9"/>
        <v>346771.79797779903</v>
      </c>
      <c r="X20" s="589" t="b">
        <f t="shared" si="10"/>
        <v>0</v>
      </c>
      <c r="Z20" s="589" t="str">
        <f>IF(Z19&lt;&gt;0,Z18&amp;" yrs "&amp;Z19&amp;" mth",Z18&amp;" Yrs")</f>
        <v>12 yrs 8 mth</v>
      </c>
    </row>
    <row r="21" spans="1:26" hidden="1">
      <c r="A21" s="457"/>
      <c r="B21" s="629"/>
      <c r="C21" s="630"/>
      <c r="D21" s="458"/>
      <c r="E21" s="458"/>
      <c r="F21" s="458"/>
      <c r="G21" s="459"/>
      <c r="I21" s="589">
        <v>19</v>
      </c>
      <c r="J21" s="654">
        <f t="shared" si="0"/>
        <v>62117.38548147284</v>
      </c>
      <c r="K21" s="655">
        <f t="shared" si="1"/>
        <v>40946.858265039278</v>
      </c>
      <c r="L21" s="654">
        <f t="shared" si="4"/>
        <v>21170.527216433562</v>
      </c>
      <c r="M21" s="656">
        <f t="shared" si="5"/>
        <v>6120858.2125394577</v>
      </c>
      <c r="N21" s="657">
        <f t="shared" si="11"/>
        <v>801088.53668744315</v>
      </c>
      <c r="O21" s="589">
        <f t="shared" si="6"/>
        <v>43</v>
      </c>
      <c r="P21" s="654">
        <f t="shared" si="2"/>
        <v>44901.623509645258</v>
      </c>
      <c r="Q21" s="664">
        <f t="shared" si="3"/>
        <v>39473.956637878349</v>
      </c>
      <c r="R21" s="654">
        <f t="shared" si="7"/>
        <v>5427.666871766909</v>
      </c>
      <c r="S21" s="656">
        <f t="shared" si="8"/>
        <v>5915665.8288099859</v>
      </c>
      <c r="T21" s="657">
        <f t="shared" si="12"/>
        <v>755927.0643464335</v>
      </c>
      <c r="V21" s="665">
        <f t="shared" si="13"/>
        <v>17215.761971827582</v>
      </c>
      <c r="W21" s="590">
        <f t="shared" si="9"/>
        <v>368251.64397429663</v>
      </c>
      <c r="X21" s="589" t="b">
        <f t="shared" si="10"/>
        <v>0</v>
      </c>
    </row>
    <row r="22" spans="1:26" hidden="1">
      <c r="I22" s="589">
        <v>20</v>
      </c>
      <c r="J22" s="654">
        <f t="shared" si="0"/>
        <v>62117.38548147284</v>
      </c>
      <c r="K22" s="655">
        <f t="shared" si="1"/>
        <v>40805.721416929722</v>
      </c>
      <c r="L22" s="654">
        <f t="shared" si="4"/>
        <v>21311.664064543118</v>
      </c>
      <c r="M22" s="656">
        <f t="shared" si="5"/>
        <v>6099546.5484749144</v>
      </c>
      <c r="N22" s="657">
        <f t="shared" si="11"/>
        <v>841894.25810437289</v>
      </c>
      <c r="O22" s="589">
        <f t="shared" si="6"/>
        <v>44</v>
      </c>
      <c r="P22" s="654">
        <f t="shared" si="2"/>
        <v>44901.623509645258</v>
      </c>
      <c r="Q22" s="664">
        <f t="shared" si="3"/>
        <v>39437.772192066572</v>
      </c>
      <c r="R22" s="654">
        <f t="shared" si="7"/>
        <v>5463.8513175786866</v>
      </c>
      <c r="S22" s="656">
        <f t="shared" si="8"/>
        <v>5910201.977492407</v>
      </c>
      <c r="T22" s="657">
        <f t="shared" si="12"/>
        <v>795364.83653850004</v>
      </c>
      <c r="V22" s="665">
        <f t="shared" si="13"/>
        <v>17215.761971827582</v>
      </c>
      <c r="W22" s="590">
        <f t="shared" si="9"/>
        <v>389983.12458209443</v>
      </c>
      <c r="X22" s="589" t="b">
        <f t="shared" si="10"/>
        <v>0</v>
      </c>
    </row>
    <row r="23" spans="1:26" ht="16.5" hidden="1" customHeight="1">
      <c r="I23" s="589">
        <v>21</v>
      </c>
      <c r="J23" s="654">
        <f t="shared" si="0"/>
        <v>62117.38548147284</v>
      </c>
      <c r="K23" s="655">
        <f t="shared" si="1"/>
        <v>40663.643656499429</v>
      </c>
      <c r="L23" s="654">
        <f t="shared" si="4"/>
        <v>21453.741824973411</v>
      </c>
      <c r="M23" s="656">
        <f t="shared" si="5"/>
        <v>6078092.806649941</v>
      </c>
      <c r="N23" s="657">
        <f t="shared" si="11"/>
        <v>882557.90176087234</v>
      </c>
      <c r="O23" s="589">
        <f t="shared" si="6"/>
        <v>45</v>
      </c>
      <c r="P23" s="654">
        <f t="shared" si="2"/>
        <v>44901.623509645258</v>
      </c>
      <c r="Q23" s="664">
        <f t="shared" si="3"/>
        <v>39401.346516616046</v>
      </c>
      <c r="R23" s="654">
        <f t="shared" si="7"/>
        <v>5500.2769930292125</v>
      </c>
      <c r="S23" s="656">
        <f t="shared" si="8"/>
        <v>5904701.7004993781</v>
      </c>
      <c r="T23" s="657">
        <f t="shared" si="12"/>
        <v>834766.1830551161</v>
      </c>
      <c r="V23" s="665">
        <f t="shared" si="13"/>
        <v>17215.761971827582</v>
      </c>
      <c r="W23" s="590">
        <f t="shared" si="9"/>
        <v>411969.187679758</v>
      </c>
      <c r="X23" s="589" t="b">
        <f t="shared" si="10"/>
        <v>0</v>
      </c>
    </row>
    <row r="24" spans="1:26" ht="16.5" hidden="1" customHeight="1">
      <c r="B24" s="631" t="s">
        <v>71</v>
      </c>
      <c r="C24" s="632"/>
      <c r="E24" s="596" t="s">
        <v>72</v>
      </c>
      <c r="F24" s="633">
        <v>15</v>
      </c>
      <c r="I24" s="589">
        <v>22</v>
      </c>
      <c r="J24" s="654">
        <f t="shared" si="0"/>
        <v>62117.38548147284</v>
      </c>
      <c r="K24" s="655">
        <f t="shared" si="1"/>
        <v>40520.61871099961</v>
      </c>
      <c r="L24" s="654">
        <f t="shared" si="4"/>
        <v>21596.76677047323</v>
      </c>
      <c r="M24" s="656">
        <f t="shared" si="5"/>
        <v>6056496.0398794673</v>
      </c>
      <c r="N24" s="657">
        <f t="shared" si="11"/>
        <v>923078.52047187195</v>
      </c>
      <c r="O24" s="589">
        <f t="shared" si="6"/>
        <v>46</v>
      </c>
      <c r="P24" s="654">
        <f t="shared" si="2"/>
        <v>44901.623509645258</v>
      </c>
      <c r="Q24" s="664">
        <f t="shared" si="3"/>
        <v>39364.678003329187</v>
      </c>
      <c r="R24" s="654">
        <f t="shared" si="7"/>
        <v>5536.9455063160713</v>
      </c>
      <c r="S24" s="656">
        <f t="shared" si="8"/>
        <v>5899164.7549930625</v>
      </c>
      <c r="T24" s="657">
        <f t="shared" si="12"/>
        <v>874130.8610584453</v>
      </c>
      <c r="V24" s="665">
        <f t="shared" si="13"/>
        <v>17215.761971827582</v>
      </c>
      <c r="W24" s="590">
        <f t="shared" si="9"/>
        <v>434212.81568000535</v>
      </c>
      <c r="X24" s="589" t="b">
        <f t="shared" si="10"/>
        <v>0</v>
      </c>
    </row>
    <row r="25" spans="1:26" ht="16.5" hidden="1" customHeight="1">
      <c r="B25" s="450" t="s">
        <v>43</v>
      </c>
      <c r="C25" s="634">
        <f>C15</f>
        <v>44901.623509645258</v>
      </c>
      <c r="I25" s="589">
        <v>23</v>
      </c>
      <c r="J25" s="654">
        <f t="shared" si="0"/>
        <v>62117.38548147284</v>
      </c>
      <c r="K25" s="655">
        <f t="shared" si="1"/>
        <v>40376.64026586312</v>
      </c>
      <c r="L25" s="654">
        <f t="shared" si="4"/>
        <v>21740.745215609721</v>
      </c>
      <c r="M25" s="656">
        <f t="shared" si="5"/>
        <v>6034755.2946638577</v>
      </c>
      <c r="N25" s="657">
        <f t="shared" si="11"/>
        <v>963455.1607377351</v>
      </c>
      <c r="O25" s="589">
        <f t="shared" si="6"/>
        <v>47</v>
      </c>
      <c r="P25" s="654">
        <f t="shared" si="2"/>
        <v>44901.623509645258</v>
      </c>
      <c r="Q25" s="664">
        <f t="shared" si="3"/>
        <v>39327.765033287083</v>
      </c>
      <c r="R25" s="654">
        <f t="shared" si="7"/>
        <v>5573.8584763581748</v>
      </c>
      <c r="S25" s="656">
        <f t="shared" si="8"/>
        <v>5893590.896516704</v>
      </c>
      <c r="T25" s="657">
        <f t="shared" si="12"/>
        <v>913458.62609173241</v>
      </c>
      <c r="V25" s="665">
        <f t="shared" si="13"/>
        <v>17215.761971827582</v>
      </c>
      <c r="W25" s="590">
        <f t="shared" si="9"/>
        <v>456717.02593427175</v>
      </c>
      <c r="X25" s="589" t="b">
        <f t="shared" si="10"/>
        <v>0</v>
      </c>
    </row>
    <row r="26" spans="1:26" ht="16.5" hidden="1" customHeight="1">
      <c r="B26" s="450" t="s">
        <v>48</v>
      </c>
      <c r="C26" s="634">
        <f>C16</f>
        <v>17215.761971827582</v>
      </c>
      <c r="I26" s="589">
        <v>24</v>
      </c>
      <c r="J26" s="654">
        <f t="shared" si="0"/>
        <v>62117.38548147284</v>
      </c>
      <c r="K26" s="655">
        <f t="shared" si="1"/>
        <v>40231.701964425723</v>
      </c>
      <c r="L26" s="654">
        <f t="shared" si="4"/>
        <v>21885.683517047117</v>
      </c>
      <c r="M26" s="656">
        <f t="shared" si="5"/>
        <v>6012869.6111468105</v>
      </c>
      <c r="N26" s="657">
        <f t="shared" si="11"/>
        <v>1003686.8627021608</v>
      </c>
      <c r="O26" s="589">
        <f t="shared" si="6"/>
        <v>48</v>
      </c>
      <c r="P26" s="654">
        <f t="shared" si="2"/>
        <v>44901.623509645258</v>
      </c>
      <c r="Q26" s="664">
        <f t="shared" si="3"/>
        <v>39290.605976778032</v>
      </c>
      <c r="R26" s="654">
        <f t="shared" si="7"/>
        <v>5611.0175328672267</v>
      </c>
      <c r="S26" s="656">
        <f t="shared" si="8"/>
        <v>5887979.8789838366</v>
      </c>
      <c r="T26" s="657">
        <f t="shared" si="12"/>
        <v>952749.23206851049</v>
      </c>
      <c r="V26" s="665">
        <f t="shared" si="13"/>
        <v>17215.761971827582</v>
      </c>
      <c r="W26" s="590">
        <f t="shared" si="9"/>
        <v>479484.87114201376</v>
      </c>
      <c r="X26" s="589" t="b">
        <f t="shared" si="10"/>
        <v>0</v>
      </c>
    </row>
    <row r="27" spans="1:26" ht="16.5" hidden="1" customHeight="1">
      <c r="B27" s="448" t="s">
        <v>73</v>
      </c>
      <c r="C27" s="634" t="str">
        <f>Z15</f>
        <v>13 Yrs</v>
      </c>
      <c r="E27" s="448" t="s">
        <v>74</v>
      </c>
      <c r="F27" s="635">
        <f>C13-C7</f>
        <v>15</v>
      </c>
      <c r="I27" s="589">
        <v>25</v>
      </c>
      <c r="J27" s="654">
        <f t="shared" si="0"/>
        <v>62117.38548147284</v>
      </c>
      <c r="K27" s="655">
        <f t="shared" si="1"/>
        <v>40085.797407645405</v>
      </c>
      <c r="L27" s="654">
        <f t="shared" si="4"/>
        <v>22031.588073827435</v>
      </c>
      <c r="M27" s="656">
        <f t="shared" si="5"/>
        <v>5990838.0230729831</v>
      </c>
      <c r="N27" s="657">
        <f t="shared" si="11"/>
        <v>1043772.6601098062</v>
      </c>
      <c r="O27" s="589">
        <f t="shared" si="6"/>
        <v>49</v>
      </c>
      <c r="P27" s="654">
        <f t="shared" si="2"/>
        <v>44901.623509645258</v>
      </c>
      <c r="Q27" s="664">
        <f t="shared" si="3"/>
        <v>39253.199193225577</v>
      </c>
      <c r="R27" s="654">
        <f t="shared" si="7"/>
        <v>5648.4243164196814</v>
      </c>
      <c r="S27" s="656">
        <f t="shared" si="8"/>
        <v>5882331.4546674173</v>
      </c>
      <c r="T27" s="657">
        <f t="shared" si="12"/>
        <v>992002.43126173608</v>
      </c>
      <c r="V27" s="665">
        <f t="shared" si="13"/>
        <v>17215.761971827582</v>
      </c>
      <c r="W27" s="590">
        <f t="shared" si="9"/>
        <v>502519.43976480857</v>
      </c>
      <c r="X27" s="589" t="b">
        <f t="shared" si="10"/>
        <v>0</v>
      </c>
    </row>
    <row r="28" spans="1:26" ht="16.5" hidden="1" customHeight="1">
      <c r="B28" s="636" t="s">
        <v>75</v>
      </c>
      <c r="C28" s="637" t="str">
        <f>AA5</f>
        <v>12 yrs 8 mth</v>
      </c>
      <c r="E28" s="433" t="s">
        <v>76</v>
      </c>
      <c r="F28" s="638">
        <v>0.1</v>
      </c>
      <c r="I28" s="589">
        <v>26</v>
      </c>
      <c r="J28" s="654">
        <f t="shared" si="0"/>
        <v>62117.38548147284</v>
      </c>
      <c r="K28" s="655">
        <f t="shared" si="1"/>
        <v>39938.92015381989</v>
      </c>
      <c r="L28" s="654">
        <f t="shared" si="4"/>
        <v>22178.46532765295</v>
      </c>
      <c r="M28" s="656">
        <f t="shared" si="5"/>
        <v>5968659.55774533</v>
      </c>
      <c r="N28" s="657">
        <f t="shared" si="11"/>
        <v>1083711.5802636261</v>
      </c>
      <c r="O28" s="589">
        <f t="shared" si="6"/>
        <v>50</v>
      </c>
      <c r="P28" s="654">
        <f t="shared" si="2"/>
        <v>44901.623509645258</v>
      </c>
      <c r="Q28" s="664">
        <f t="shared" si="3"/>
        <v>39215.543031116118</v>
      </c>
      <c r="R28" s="654">
        <f t="shared" si="7"/>
        <v>5686.0804785291402</v>
      </c>
      <c r="S28" s="656">
        <f t="shared" si="8"/>
        <v>5876645.3741888879</v>
      </c>
      <c r="T28" s="657">
        <f t="shared" si="12"/>
        <v>1031217.9742928522</v>
      </c>
      <c r="V28" s="665">
        <f t="shared" si="13"/>
        <v>17215.761971827582</v>
      </c>
      <c r="W28" s="590">
        <f t="shared" si="9"/>
        <v>525823.85644530412</v>
      </c>
      <c r="X28" s="589" t="b">
        <f t="shared" si="10"/>
        <v>0</v>
      </c>
    </row>
    <row r="29" spans="1:26" ht="16.5" hidden="1" customHeight="1">
      <c r="B29" s="639" t="s">
        <v>77</v>
      </c>
      <c r="C29" s="640">
        <f>VLOOKUP(F24*12,O2:T362,6,0)</f>
        <v>5690316.1291990429</v>
      </c>
      <c r="I29" s="589">
        <v>27</v>
      </c>
      <c r="J29" s="654">
        <f t="shared" si="0"/>
        <v>62117.38548147284</v>
      </c>
      <c r="K29" s="655">
        <f t="shared" si="1"/>
        <v>39791.063718302205</v>
      </c>
      <c r="L29" s="654">
        <f t="shared" si="4"/>
        <v>22326.321763170636</v>
      </c>
      <c r="M29" s="656">
        <f t="shared" si="5"/>
        <v>5946333.2359821592</v>
      </c>
      <c r="N29" s="657">
        <f t="shared" si="11"/>
        <v>1123502.6439819282</v>
      </c>
      <c r="O29" s="589">
        <f t="shared" si="6"/>
        <v>51</v>
      </c>
      <c r="P29" s="654">
        <f t="shared" si="2"/>
        <v>44901.623509645258</v>
      </c>
      <c r="Q29" s="664">
        <f t="shared" si="3"/>
        <v>39177.635827925922</v>
      </c>
      <c r="R29" s="654">
        <f t="shared" si="7"/>
        <v>5723.9876817193363</v>
      </c>
      <c r="S29" s="656">
        <f t="shared" si="8"/>
        <v>5870921.3865071684</v>
      </c>
      <c r="T29" s="657">
        <f t="shared" si="12"/>
        <v>1070395.6101207782</v>
      </c>
      <c r="V29" s="665">
        <f t="shared" si="13"/>
        <v>17215.761971827582</v>
      </c>
      <c r="W29" s="590">
        <f t="shared" si="9"/>
        <v>549401.28243107733</v>
      </c>
      <c r="X29" s="589" t="b">
        <f t="shared" si="10"/>
        <v>0</v>
      </c>
    </row>
    <row r="30" spans="1:26" ht="16.5" hidden="1" customHeight="1">
      <c r="B30" s="641" t="str">
        <f>"Wealth created in "&amp;$F$24&amp;" years"</f>
        <v>Wealth created in 15 years</v>
      </c>
      <c r="C30" s="642">
        <f>FV((1+Scenario1*(1-10.4%))^(1/12)-1,(F24*12)-C10,-C16,,1)</f>
        <v>6837505.5020567579</v>
      </c>
      <c r="I30" s="589">
        <v>28</v>
      </c>
      <c r="J30" s="654">
        <f t="shared" si="0"/>
        <v>62117.38548147284</v>
      </c>
      <c r="K30" s="655">
        <f t="shared" si="1"/>
        <v>39642.221573214396</v>
      </c>
      <c r="L30" s="654">
        <f t="shared" si="4"/>
        <v>22475.163908258444</v>
      </c>
      <c r="M30" s="656">
        <f t="shared" si="5"/>
        <v>5923858.0720739011</v>
      </c>
      <c r="N30" s="657">
        <f t="shared" si="11"/>
        <v>1163144.8655551425</v>
      </c>
      <c r="O30" s="589">
        <f t="shared" si="6"/>
        <v>52</v>
      </c>
      <c r="P30" s="654">
        <f t="shared" si="2"/>
        <v>44901.623509645258</v>
      </c>
      <c r="Q30" s="664">
        <f t="shared" si="3"/>
        <v>39139.47591004779</v>
      </c>
      <c r="R30" s="654">
        <f t="shared" si="7"/>
        <v>5762.1475995974688</v>
      </c>
      <c r="S30" s="656">
        <f t="shared" si="8"/>
        <v>5865159.238907571</v>
      </c>
      <c r="T30" s="657">
        <f t="shared" si="12"/>
        <v>1109535.086030826</v>
      </c>
      <c r="V30" s="665">
        <f t="shared" si="13"/>
        <v>17215.761971827582</v>
      </c>
      <c r="W30" s="590">
        <f t="shared" si="9"/>
        <v>573254.91600345785</v>
      </c>
      <c r="X30" s="589" t="b">
        <f t="shared" si="10"/>
        <v>0</v>
      </c>
    </row>
    <row r="31" spans="1:26" ht="16.5" hidden="1" customHeight="1">
      <c r="B31" s="643" t="s">
        <v>78</v>
      </c>
      <c r="C31" s="642">
        <f>C30-C29</f>
        <v>1147189.372857715</v>
      </c>
      <c r="I31" s="589">
        <v>29</v>
      </c>
      <c r="J31" s="654">
        <f t="shared" si="0"/>
        <v>62117.38548147284</v>
      </c>
      <c r="K31" s="655">
        <f t="shared" si="1"/>
        <v>39492.387147159345</v>
      </c>
      <c r="L31" s="654">
        <f t="shared" si="4"/>
        <v>22624.998334313495</v>
      </c>
      <c r="M31" s="656">
        <f t="shared" si="5"/>
        <v>5901233.0737395873</v>
      </c>
      <c r="N31" s="657">
        <f t="shared" si="11"/>
        <v>1202637.2527023018</v>
      </c>
      <c r="O31" s="589">
        <f t="shared" si="6"/>
        <v>53</v>
      </c>
      <c r="P31" s="654">
        <f t="shared" si="2"/>
        <v>44901.623509645258</v>
      </c>
      <c r="Q31" s="664">
        <f t="shared" si="3"/>
        <v>39101.061592717146</v>
      </c>
      <c r="R31" s="654">
        <f t="shared" si="7"/>
        <v>5800.5619169281126</v>
      </c>
      <c r="S31" s="656">
        <f t="shared" si="8"/>
        <v>5859358.6769906431</v>
      </c>
      <c r="T31" s="657">
        <f t="shared" si="12"/>
        <v>1148636.1476235432</v>
      </c>
      <c r="V31" s="665">
        <f t="shared" si="13"/>
        <v>17215.761971827582</v>
      </c>
      <c r="W31" s="590">
        <f t="shared" si="9"/>
        <v>597387.99291137536</v>
      </c>
      <c r="X31" s="589" t="b">
        <f t="shared" si="10"/>
        <v>0</v>
      </c>
    </row>
    <row r="32" spans="1:26" ht="16.5" hidden="1" customHeight="1">
      <c r="I32" s="589">
        <v>30</v>
      </c>
      <c r="J32" s="654">
        <f t="shared" si="0"/>
        <v>62117.38548147284</v>
      </c>
      <c r="K32" s="655">
        <f t="shared" si="1"/>
        <v>39341.553824930583</v>
      </c>
      <c r="L32" s="654">
        <f t="shared" si="4"/>
        <v>22775.831656542257</v>
      </c>
      <c r="M32" s="656">
        <f t="shared" si="5"/>
        <v>5878457.2420830447</v>
      </c>
      <c r="N32" s="657">
        <f t="shared" si="11"/>
        <v>1241978.8065272325</v>
      </c>
      <c r="O32" s="589">
        <f t="shared" si="6"/>
        <v>54</v>
      </c>
      <c r="P32" s="654">
        <f t="shared" si="2"/>
        <v>44901.623509645258</v>
      </c>
      <c r="Q32" s="664">
        <f t="shared" si="3"/>
        <v>39062.391179937622</v>
      </c>
      <c r="R32" s="654">
        <f t="shared" si="7"/>
        <v>5839.2323297076364</v>
      </c>
      <c r="S32" s="656">
        <f t="shared" si="8"/>
        <v>5853519.4446609356</v>
      </c>
      <c r="T32" s="657">
        <f t="shared" si="12"/>
        <v>1187698.5388034808</v>
      </c>
      <c r="V32" s="665">
        <f t="shared" si="13"/>
        <v>17215.761971827582</v>
      </c>
      <c r="W32" s="590">
        <f t="shared" si="9"/>
        <v>621803.7868102896</v>
      </c>
      <c r="X32" s="589" t="b">
        <f t="shared" si="10"/>
        <v>0</v>
      </c>
    </row>
    <row r="33" spans="2:24" ht="16.5" hidden="1" customHeight="1">
      <c r="B33" s="631" t="s">
        <v>79</v>
      </c>
      <c r="C33" s="632"/>
      <c r="I33" s="589">
        <v>31</v>
      </c>
      <c r="J33" s="654">
        <f t="shared" si="0"/>
        <v>62117.38548147284</v>
      </c>
      <c r="K33" s="655">
        <f t="shared" si="1"/>
        <v>39189.714947220302</v>
      </c>
      <c r="L33" s="654">
        <f t="shared" si="4"/>
        <v>22927.670534252538</v>
      </c>
      <c r="M33" s="656">
        <f t="shared" si="5"/>
        <v>5855529.5715487925</v>
      </c>
      <c r="N33" s="657">
        <f t="shared" si="11"/>
        <v>1281168.5214744529</v>
      </c>
      <c r="O33" s="589">
        <f t="shared" si="6"/>
        <v>55</v>
      </c>
      <c r="P33" s="654">
        <f t="shared" si="2"/>
        <v>44901.623509645258</v>
      </c>
      <c r="Q33" s="664">
        <f t="shared" si="3"/>
        <v>39023.462964406237</v>
      </c>
      <c r="R33" s="654">
        <f t="shared" si="7"/>
        <v>5878.1605452390213</v>
      </c>
      <c r="S33" s="656">
        <f t="shared" si="8"/>
        <v>5847641.2841156963</v>
      </c>
      <c r="T33" s="657">
        <f t="shared" si="12"/>
        <v>1226722.001767887</v>
      </c>
      <c r="V33" s="665">
        <f t="shared" si="13"/>
        <v>17215.761971827582</v>
      </c>
      <c r="W33" s="590">
        <f t="shared" si="9"/>
        <v>646505.60970626189</v>
      </c>
      <c r="X33" s="589" t="b">
        <f t="shared" si="10"/>
        <v>0</v>
      </c>
    </row>
    <row r="34" spans="2:24" ht="16.5" hidden="1" customHeight="1">
      <c r="B34" s="450" t="s">
        <v>43</v>
      </c>
      <c r="C34" s="634">
        <f>C8</f>
        <v>62117.38548147284</v>
      </c>
      <c r="I34" s="589">
        <v>32</v>
      </c>
      <c r="J34" s="654">
        <f t="shared" si="0"/>
        <v>62117.38548147284</v>
      </c>
      <c r="K34" s="655">
        <f t="shared" si="1"/>
        <v>39036.863810325289</v>
      </c>
      <c r="L34" s="654">
        <f t="shared" si="4"/>
        <v>23080.521671147551</v>
      </c>
      <c r="M34" s="656">
        <f t="shared" si="5"/>
        <v>5832449.0498776454</v>
      </c>
      <c r="N34" s="657">
        <f t="shared" si="11"/>
        <v>1320205.3852847782</v>
      </c>
      <c r="O34" s="589">
        <f t="shared" si="6"/>
        <v>56</v>
      </c>
      <c r="P34" s="654">
        <f t="shared" si="2"/>
        <v>44901.623509645258</v>
      </c>
      <c r="Q34" s="664">
        <f t="shared" si="3"/>
        <v>38984.275227437975</v>
      </c>
      <c r="R34" s="654">
        <f t="shared" si="7"/>
        <v>5917.3482822072838</v>
      </c>
      <c r="S34" s="656">
        <f t="shared" si="8"/>
        <v>5841723.9358334886</v>
      </c>
      <c r="T34" s="657">
        <f t="shared" si="12"/>
        <v>1265706.276995325</v>
      </c>
      <c r="V34" s="665">
        <f t="shared" si="13"/>
        <v>17215.761971827582</v>
      </c>
      <c r="W34" s="590">
        <f t="shared" si="9"/>
        <v>671496.81240522943</v>
      </c>
      <c r="X34" s="589" t="b">
        <f t="shared" si="10"/>
        <v>0</v>
      </c>
    </row>
    <row r="35" spans="2:24" ht="16.5" hidden="1" customHeight="1">
      <c r="B35" s="450" t="s">
        <v>48</v>
      </c>
      <c r="C35" s="644">
        <f>IF(F24&gt;C7,C8,0)</f>
        <v>0</v>
      </c>
      <c r="I35" s="589">
        <v>33</v>
      </c>
      <c r="J35" s="654">
        <f t="shared" si="0"/>
        <v>62117.38548147284</v>
      </c>
      <c r="K35" s="655">
        <f t="shared" si="1"/>
        <v>38882.993665850969</v>
      </c>
      <c r="L35" s="654">
        <f t="shared" si="4"/>
        <v>23234.391815621872</v>
      </c>
      <c r="M35" s="656">
        <f t="shared" si="5"/>
        <v>5809214.658062024</v>
      </c>
      <c r="N35" s="657">
        <f t="shared" si="11"/>
        <v>1359088.3789506292</v>
      </c>
      <c r="O35" s="589">
        <f t="shared" si="6"/>
        <v>57</v>
      </c>
      <c r="P35" s="654">
        <f t="shared" si="2"/>
        <v>44901.623509645258</v>
      </c>
      <c r="Q35" s="664">
        <f t="shared" si="3"/>
        <v>38944.826238889924</v>
      </c>
      <c r="R35" s="654">
        <f t="shared" si="7"/>
        <v>5956.7972707553345</v>
      </c>
      <c r="S35" s="656">
        <f t="shared" si="8"/>
        <v>5835767.1385627333</v>
      </c>
      <c r="T35" s="657">
        <f t="shared" si="12"/>
        <v>1304651.1032342149</v>
      </c>
      <c r="V35" s="665">
        <f t="shared" si="13"/>
        <v>17215.761971827582</v>
      </c>
      <c r="W35" s="590">
        <f t="shared" si="9"/>
        <v>696780.78496754263</v>
      </c>
      <c r="X35" s="589" t="b">
        <f t="shared" si="10"/>
        <v>0</v>
      </c>
    </row>
    <row r="36" spans="2:24" ht="16.5" hidden="1" customHeight="1">
      <c r="B36" s="450" t="s">
        <v>74</v>
      </c>
      <c r="C36" s="634">
        <f>IF(F24&gt;C7,F24-C7,0)</f>
        <v>0</v>
      </c>
      <c r="I36" s="589">
        <v>34</v>
      </c>
      <c r="J36" s="654">
        <f t="shared" si="0"/>
        <v>62117.38548147284</v>
      </c>
      <c r="K36" s="655">
        <f t="shared" si="1"/>
        <v>38728.097720413498</v>
      </c>
      <c r="L36" s="654">
        <f t="shared" si="4"/>
        <v>23389.287761059342</v>
      </c>
      <c r="M36" s="656">
        <f t="shared" si="5"/>
        <v>5785825.3703009645</v>
      </c>
      <c r="N36" s="657">
        <f t="shared" si="11"/>
        <v>1397816.4766710426</v>
      </c>
      <c r="O36" s="589">
        <f t="shared" si="6"/>
        <v>58</v>
      </c>
      <c r="P36" s="654">
        <f t="shared" si="2"/>
        <v>44901.623509645258</v>
      </c>
      <c r="Q36" s="664">
        <f t="shared" si="3"/>
        <v>38905.11425708489</v>
      </c>
      <c r="R36" s="654">
        <f t="shared" si="7"/>
        <v>5996.5092525603686</v>
      </c>
      <c r="S36" s="656">
        <f t="shared" si="8"/>
        <v>5829770.629310173</v>
      </c>
      <c r="T36" s="657">
        <f t="shared" si="12"/>
        <v>1343556.2174912998</v>
      </c>
      <c r="V36" s="665">
        <f t="shared" si="13"/>
        <v>17215.761971827582</v>
      </c>
      <c r="W36" s="590">
        <f t="shared" si="9"/>
        <v>722360.95716782717</v>
      </c>
      <c r="X36" s="589" t="b">
        <f t="shared" si="10"/>
        <v>0</v>
      </c>
    </row>
    <row r="37" spans="2:24" ht="16.5" hidden="1" customHeight="1">
      <c r="B37" s="636" t="s">
        <v>75</v>
      </c>
      <c r="C37" s="645">
        <f>C7</f>
        <v>15</v>
      </c>
      <c r="I37" s="589">
        <v>35</v>
      </c>
      <c r="J37" s="654">
        <f t="shared" si="0"/>
        <v>62117.38548147284</v>
      </c>
      <c r="K37" s="655">
        <f t="shared" si="1"/>
        <v>38572.169135339769</v>
      </c>
      <c r="L37" s="654">
        <f t="shared" si="4"/>
        <v>23545.216346133071</v>
      </c>
      <c r="M37" s="656">
        <f t="shared" si="5"/>
        <v>5762280.153954831</v>
      </c>
      <c r="N37" s="657">
        <f t="shared" si="11"/>
        <v>1436388.6458063824</v>
      </c>
      <c r="O37" s="589">
        <f t="shared" si="6"/>
        <v>59</v>
      </c>
      <c r="P37" s="654">
        <f t="shared" si="2"/>
        <v>44901.623509645258</v>
      </c>
      <c r="Q37" s="664">
        <f t="shared" si="3"/>
        <v>38865.137528734493</v>
      </c>
      <c r="R37" s="654">
        <f t="shared" si="7"/>
        <v>6036.4859809107656</v>
      </c>
      <c r="S37" s="656">
        <f t="shared" si="8"/>
        <v>5823734.1433292618</v>
      </c>
      <c r="T37" s="657">
        <f t="shared" si="12"/>
        <v>1382421.3550200344</v>
      </c>
      <c r="V37" s="665">
        <f t="shared" si="13"/>
        <v>17215.761971827582</v>
      </c>
      <c r="W37" s="590">
        <f t="shared" si="9"/>
        <v>748240.79896023357</v>
      </c>
      <c r="X37" s="589" t="b">
        <f t="shared" si="10"/>
        <v>0</v>
      </c>
    </row>
    <row r="38" spans="2:24" ht="16.5" hidden="1" customHeight="1">
      <c r="B38" s="639" t="s">
        <v>77</v>
      </c>
      <c r="C38" s="640">
        <f>VLOOKUP(F24*12,I2:N302,6,0)</f>
        <v>4681129.3866651105</v>
      </c>
      <c r="I38" s="589">
        <v>36</v>
      </c>
      <c r="J38" s="654">
        <f t="shared" si="0"/>
        <v>62117.38548147284</v>
      </c>
      <c r="K38" s="655">
        <f t="shared" si="1"/>
        <v>38415.201026365539</v>
      </c>
      <c r="L38" s="654">
        <f t="shared" si="4"/>
        <v>23702.184455107301</v>
      </c>
      <c r="M38" s="656">
        <f t="shared" si="5"/>
        <v>5738577.969499724</v>
      </c>
      <c r="N38" s="657">
        <f t="shared" si="11"/>
        <v>1474803.846832748</v>
      </c>
      <c r="O38" s="589">
        <f t="shared" si="6"/>
        <v>60</v>
      </c>
      <c r="P38" s="654">
        <f t="shared" si="2"/>
        <v>44901.623509645258</v>
      </c>
      <c r="Q38" s="664">
        <f t="shared" si="3"/>
        <v>38824.894288861746</v>
      </c>
      <c r="R38" s="654">
        <f t="shared" si="7"/>
        <v>6076.7292207835126</v>
      </c>
      <c r="S38" s="656">
        <f t="shared" si="8"/>
        <v>5817657.4141084785</v>
      </c>
      <c r="T38" s="657">
        <f t="shared" si="12"/>
        <v>1421246.249308896</v>
      </c>
      <c r="V38" s="665">
        <f t="shared" si="13"/>
        <v>17215.761971827582</v>
      </c>
      <c r="W38" s="590">
        <f t="shared" si="9"/>
        <v>774423.82094913698</v>
      </c>
      <c r="X38" s="589" t="b">
        <f t="shared" si="10"/>
        <v>0</v>
      </c>
    </row>
    <row r="39" spans="2:24" ht="16.5" hidden="1" customHeight="1">
      <c r="B39" s="641" t="str">
        <f>"Wealth created in "&amp;$F$24&amp;" years"</f>
        <v>Wealth created in 15 years</v>
      </c>
      <c r="C39" s="642">
        <f>FV((1+F28)^(1/12)-1,C36*12,-C35,,1)</f>
        <v>0</v>
      </c>
      <c r="I39" s="589">
        <v>37</v>
      </c>
      <c r="J39" s="654">
        <f t="shared" si="0"/>
        <v>62117.38548147284</v>
      </c>
      <c r="K39" s="655">
        <f t="shared" si="1"/>
        <v>38257.186463331498</v>
      </c>
      <c r="L39" s="654">
        <f t="shared" si="4"/>
        <v>23860.199018141342</v>
      </c>
      <c r="M39" s="656">
        <f t="shared" si="5"/>
        <v>5714717.7704815827</v>
      </c>
      <c r="N39" s="657">
        <f t="shared" si="11"/>
        <v>1513061.0332960796</v>
      </c>
      <c r="O39" s="589">
        <f t="shared" si="6"/>
        <v>61</v>
      </c>
      <c r="P39" s="654">
        <f t="shared" si="2"/>
        <v>44901.623509645258</v>
      </c>
      <c r="Q39" s="664">
        <f t="shared" si="3"/>
        <v>38784.382760723194</v>
      </c>
      <c r="R39" s="654">
        <f t="shared" si="7"/>
        <v>6117.2407489220641</v>
      </c>
      <c r="S39" s="656">
        <f t="shared" si="8"/>
        <v>5811540.1733595561</v>
      </c>
      <c r="T39" s="657">
        <f t="shared" si="12"/>
        <v>1460030.6320696191</v>
      </c>
      <c r="V39" s="665">
        <f t="shared" si="13"/>
        <v>17215.761971827582</v>
      </c>
      <c r="W39" s="590">
        <f t="shared" si="9"/>
        <v>800913.57486535108</v>
      </c>
      <c r="X39" s="589" t="b">
        <f t="shared" si="10"/>
        <v>0</v>
      </c>
    </row>
    <row r="40" spans="2:24" ht="16.5" hidden="1" customHeight="1">
      <c r="B40" s="643" t="s">
        <v>78</v>
      </c>
      <c r="C40" s="642">
        <f>C39-C38</f>
        <v>-4681129.3866651105</v>
      </c>
      <c r="I40" s="589">
        <v>38</v>
      </c>
      <c r="J40" s="654">
        <f t="shared" si="0"/>
        <v>62117.38548147284</v>
      </c>
      <c r="K40" s="655">
        <f t="shared" si="1"/>
        <v>38098.118469877219</v>
      </c>
      <c r="L40" s="654">
        <f t="shared" si="4"/>
        <v>24019.267011595621</v>
      </c>
      <c r="M40" s="656">
        <f t="shared" si="5"/>
        <v>5690698.5034699868</v>
      </c>
      <c r="N40" s="657">
        <f t="shared" si="11"/>
        <v>1551159.1517659568</v>
      </c>
      <c r="O40" s="589">
        <f t="shared" si="6"/>
        <v>62</v>
      </c>
      <c r="P40" s="654">
        <f t="shared" si="2"/>
        <v>44901.623509645258</v>
      </c>
      <c r="Q40" s="664">
        <f t="shared" si="3"/>
        <v>38743.601155730379</v>
      </c>
      <c r="R40" s="654">
        <f t="shared" si="7"/>
        <v>6158.0223539148792</v>
      </c>
      <c r="S40" s="656">
        <f t="shared" si="8"/>
        <v>5805382.1510056416</v>
      </c>
      <c r="T40" s="657">
        <f t="shared" si="12"/>
        <v>1498774.2332253496</v>
      </c>
      <c r="V40" s="665">
        <f t="shared" si="13"/>
        <v>17215.761971827582</v>
      </c>
      <c r="W40" s="590">
        <f t="shared" si="9"/>
        <v>827713.65404792095</v>
      </c>
      <c r="X40" s="589" t="b">
        <f t="shared" si="10"/>
        <v>0</v>
      </c>
    </row>
    <row r="41" spans="2:24" ht="16.5" hidden="1" customHeight="1">
      <c r="I41" s="589">
        <v>39</v>
      </c>
      <c r="J41" s="654">
        <f t="shared" si="0"/>
        <v>62117.38548147284</v>
      </c>
      <c r="K41" s="655">
        <f t="shared" si="1"/>
        <v>37937.99002313325</v>
      </c>
      <c r="L41" s="654">
        <f t="shared" si="4"/>
        <v>24179.39545833959</v>
      </c>
      <c r="M41" s="656">
        <f t="shared" si="5"/>
        <v>5666519.1080116471</v>
      </c>
      <c r="N41" s="657">
        <f t="shared" si="11"/>
        <v>1589097.1417890901</v>
      </c>
      <c r="O41" s="589">
        <f t="shared" si="6"/>
        <v>63</v>
      </c>
      <c r="P41" s="654">
        <f t="shared" si="2"/>
        <v>44901.623509645258</v>
      </c>
      <c r="Q41" s="664">
        <f t="shared" si="3"/>
        <v>38702.547673370944</v>
      </c>
      <c r="R41" s="654">
        <f t="shared" si="7"/>
        <v>6199.0758362743145</v>
      </c>
      <c r="S41" s="656">
        <f t="shared" si="8"/>
        <v>5799183.0751693668</v>
      </c>
      <c r="T41" s="657">
        <f t="shared" si="12"/>
        <v>1537476.7808987205</v>
      </c>
      <c r="V41" s="665">
        <f t="shared" si="13"/>
        <v>17215.761971827582</v>
      </c>
      <c r="W41" s="590">
        <f t="shared" si="9"/>
        <v>854827.69393156015</v>
      </c>
      <c r="X41" s="589" t="b">
        <f t="shared" si="10"/>
        <v>0</v>
      </c>
    </row>
    <row r="42" spans="2:24" ht="16.5" hidden="1" customHeight="1">
      <c r="B42" s="646" t="s">
        <v>80</v>
      </c>
      <c r="I42" s="589">
        <v>40</v>
      </c>
      <c r="J42" s="654">
        <f t="shared" si="0"/>
        <v>62117.38548147284</v>
      </c>
      <c r="K42" s="655">
        <f t="shared" si="1"/>
        <v>37776.79405341098</v>
      </c>
      <c r="L42" s="654">
        <f t="shared" si="4"/>
        <v>24340.59142806186</v>
      </c>
      <c r="M42" s="656">
        <f t="shared" si="5"/>
        <v>5642178.5165835852</v>
      </c>
      <c r="N42" s="657">
        <f t="shared" si="11"/>
        <v>1626873.935842501</v>
      </c>
      <c r="O42" s="589">
        <f t="shared" si="6"/>
        <v>64</v>
      </c>
      <c r="P42" s="654">
        <f t="shared" si="2"/>
        <v>44901.623509645258</v>
      </c>
      <c r="Q42" s="664">
        <f t="shared" si="3"/>
        <v>38661.220501129115</v>
      </c>
      <c r="R42" s="654">
        <f t="shared" si="7"/>
        <v>6240.403008516143</v>
      </c>
      <c r="S42" s="656">
        <f t="shared" si="8"/>
        <v>5792942.6721608508</v>
      </c>
      <c r="T42" s="657">
        <f t="shared" si="12"/>
        <v>1576138.0013998495</v>
      </c>
      <c r="V42" s="665">
        <f t="shared" si="13"/>
        <v>17215.761971827582</v>
      </c>
      <c r="W42" s="590">
        <f t="shared" si="9"/>
        <v>882259.37253979768</v>
      </c>
      <c r="X42" s="589" t="b">
        <f t="shared" si="10"/>
        <v>0</v>
      </c>
    </row>
    <row r="43" spans="2:24" ht="16.5" hidden="1" customHeight="1">
      <c r="I43" s="589">
        <v>41</v>
      </c>
      <c r="J43" s="654">
        <f t="shared" si="0"/>
        <v>62117.38548147284</v>
      </c>
      <c r="K43" s="655">
        <f t="shared" si="1"/>
        <v>37614.523443890568</v>
      </c>
      <c r="L43" s="654">
        <f t="shared" si="4"/>
        <v>24502.862037582272</v>
      </c>
      <c r="M43" s="656">
        <f t="shared" si="5"/>
        <v>5617675.6545460029</v>
      </c>
      <c r="N43" s="657">
        <f t="shared" si="11"/>
        <v>1664488.4592863915</v>
      </c>
      <c r="O43" s="589">
        <f t="shared" si="6"/>
        <v>65</v>
      </c>
      <c r="P43" s="654">
        <f t="shared" si="2"/>
        <v>44901.623509645258</v>
      </c>
      <c r="Q43" s="664">
        <f t="shared" si="3"/>
        <v>38619.617814405676</v>
      </c>
      <c r="R43" s="654">
        <f t="shared" si="7"/>
        <v>6282.0056952395826</v>
      </c>
      <c r="S43" s="656">
        <f t="shared" si="8"/>
        <v>5786660.6664656112</v>
      </c>
      <c r="T43" s="657">
        <f t="shared" si="12"/>
        <v>1614757.6192142551</v>
      </c>
      <c r="V43" s="665">
        <f t="shared" si="13"/>
        <v>17215.761971827582</v>
      </c>
      <c r="W43" s="590">
        <f t="shared" si="9"/>
        <v>910012.41098390287</v>
      </c>
      <c r="X43" s="589" t="b">
        <f t="shared" si="10"/>
        <v>0</v>
      </c>
    </row>
    <row r="44" spans="2:24" ht="16.5" hidden="1" customHeight="1">
      <c r="I44" s="589">
        <v>42</v>
      </c>
      <c r="J44" s="654">
        <f t="shared" si="0"/>
        <v>62117.38548147284</v>
      </c>
      <c r="K44" s="655">
        <f t="shared" si="1"/>
        <v>37451.171030306687</v>
      </c>
      <c r="L44" s="654">
        <f t="shared" si="4"/>
        <v>24666.214451166154</v>
      </c>
      <c r="M44" s="656">
        <f t="shared" si="5"/>
        <v>5593009.440094837</v>
      </c>
      <c r="N44" s="657">
        <f t="shared" si="11"/>
        <v>1701939.6303166982</v>
      </c>
      <c r="O44" s="589">
        <f t="shared" si="6"/>
        <v>66</v>
      </c>
      <c r="P44" s="654">
        <f t="shared" si="2"/>
        <v>44901.623509645258</v>
      </c>
      <c r="Q44" s="664">
        <f t="shared" si="3"/>
        <v>38577.737776437411</v>
      </c>
      <c r="R44" s="654">
        <f t="shared" si="7"/>
        <v>6323.8857332078478</v>
      </c>
      <c r="S44" s="656">
        <f t="shared" si="8"/>
        <v>5780336.7807324035</v>
      </c>
      <c r="T44" s="657">
        <f t="shared" si="12"/>
        <v>1653335.3569906924</v>
      </c>
      <c r="V44" s="665">
        <f t="shared" si="13"/>
        <v>17215.761971827582</v>
      </c>
      <c r="W44" s="590">
        <f t="shared" si="9"/>
        <v>938090.57396765426</v>
      </c>
      <c r="X44" s="589" t="b">
        <f t="shared" si="10"/>
        <v>0</v>
      </c>
    </row>
    <row r="45" spans="2:24" ht="16.5" hidden="1" customHeight="1">
      <c r="I45" s="589">
        <v>43</v>
      </c>
      <c r="J45" s="654">
        <f t="shared" si="0"/>
        <v>62117.38548147284</v>
      </c>
      <c r="K45" s="655">
        <f t="shared" si="1"/>
        <v>37286.72960063225</v>
      </c>
      <c r="L45" s="654">
        <f t="shared" si="4"/>
        <v>24830.65588084059</v>
      </c>
      <c r="M45" s="656">
        <f t="shared" si="5"/>
        <v>5568178.7842139965</v>
      </c>
      <c r="N45" s="657">
        <f t="shared" si="11"/>
        <v>1739226.3599173306</v>
      </c>
      <c r="O45" s="589">
        <f t="shared" si="6"/>
        <v>67</v>
      </c>
      <c r="P45" s="654">
        <f t="shared" si="2"/>
        <v>44901.623509645258</v>
      </c>
      <c r="Q45" s="664">
        <f t="shared" si="3"/>
        <v>38535.578538216025</v>
      </c>
      <c r="R45" s="654">
        <f t="shared" si="7"/>
        <v>6366.0449714292336</v>
      </c>
      <c r="S45" s="656">
        <f t="shared" si="8"/>
        <v>5773970.7357609747</v>
      </c>
      <c r="T45" s="657">
        <f t="shared" si="12"/>
        <v>1691870.9355289084</v>
      </c>
      <c r="V45" s="665">
        <f t="shared" si="13"/>
        <v>17215.761971827582</v>
      </c>
      <c r="W45" s="590">
        <f t="shared" si="9"/>
        <v>966497.67029802245</v>
      </c>
      <c r="X45" s="589" t="b">
        <f t="shared" si="10"/>
        <v>0</v>
      </c>
    </row>
    <row r="46" spans="2:24" ht="16.5" hidden="1" customHeight="1">
      <c r="I46" s="589">
        <v>44</v>
      </c>
      <c r="J46" s="654">
        <f t="shared" si="0"/>
        <v>62117.38548147284</v>
      </c>
      <c r="K46" s="655">
        <f t="shared" si="1"/>
        <v>37121.191894759977</v>
      </c>
      <c r="L46" s="654">
        <f t="shared" si="4"/>
        <v>24996.193586712863</v>
      </c>
      <c r="M46" s="656">
        <f t="shared" si="5"/>
        <v>5543182.5906272838</v>
      </c>
      <c r="N46" s="657">
        <f t="shared" si="11"/>
        <v>1776347.5518120904</v>
      </c>
      <c r="O46" s="589">
        <f t="shared" si="6"/>
        <v>68</v>
      </c>
      <c r="P46" s="654">
        <f t="shared" si="2"/>
        <v>44901.623509645258</v>
      </c>
      <c r="Q46" s="664">
        <f t="shared" si="3"/>
        <v>38493.1382384065</v>
      </c>
      <c r="R46" s="654">
        <f t="shared" si="7"/>
        <v>6408.4852712387583</v>
      </c>
      <c r="S46" s="656">
        <f t="shared" si="8"/>
        <v>5767562.250489736</v>
      </c>
      <c r="T46" s="657">
        <f t="shared" si="12"/>
        <v>1730364.0737673149</v>
      </c>
      <c r="V46" s="665">
        <f t="shared" si="13"/>
        <v>17215.761971827582</v>
      </c>
      <c r="W46" s="590">
        <f t="shared" si="9"/>
        <v>995237.55340183515</v>
      </c>
      <c r="X46" s="589" t="b">
        <f t="shared" si="10"/>
        <v>0</v>
      </c>
    </row>
    <row r="47" spans="2:24" ht="16.5" hidden="1" customHeight="1">
      <c r="I47" s="589">
        <v>45</v>
      </c>
      <c r="J47" s="654">
        <f t="shared" si="0"/>
        <v>62117.38548147284</v>
      </c>
      <c r="K47" s="655">
        <f t="shared" si="1"/>
        <v>36954.550604181895</v>
      </c>
      <c r="L47" s="654">
        <f t="shared" si="4"/>
        <v>25162.834877290945</v>
      </c>
      <c r="M47" s="656">
        <f t="shared" si="5"/>
        <v>5518019.755749993</v>
      </c>
      <c r="N47" s="657">
        <f t="shared" si="11"/>
        <v>1813302.1024162723</v>
      </c>
      <c r="O47" s="589">
        <f t="shared" si="6"/>
        <v>69</v>
      </c>
      <c r="P47" s="654">
        <f t="shared" si="2"/>
        <v>44901.623509645258</v>
      </c>
      <c r="Q47" s="664">
        <f t="shared" si="3"/>
        <v>38450.415003264912</v>
      </c>
      <c r="R47" s="654">
        <f t="shared" si="7"/>
        <v>6451.2085063803461</v>
      </c>
      <c r="S47" s="656">
        <f t="shared" si="8"/>
        <v>5761111.0419833558</v>
      </c>
      <c r="T47" s="657">
        <f t="shared" si="12"/>
        <v>1768814.4887705799</v>
      </c>
      <c r="V47" s="665">
        <f t="shared" si="13"/>
        <v>17215.761971827582</v>
      </c>
      <c r="W47" s="590">
        <f t="shared" si="9"/>
        <v>1024314.1218484953</v>
      </c>
      <c r="X47" s="589" t="b">
        <f t="shared" si="10"/>
        <v>0</v>
      </c>
    </row>
    <row r="48" spans="2:24" ht="16.5" hidden="1" customHeight="1">
      <c r="I48" s="589">
        <v>46</v>
      </c>
      <c r="J48" s="654">
        <f t="shared" si="0"/>
        <v>62117.38548147284</v>
      </c>
      <c r="K48" s="655">
        <f t="shared" si="1"/>
        <v>36786.79837166662</v>
      </c>
      <c r="L48" s="654">
        <f t="shared" si="4"/>
        <v>25330.58710980622</v>
      </c>
      <c r="M48" s="656">
        <f t="shared" si="5"/>
        <v>5492689.168640187</v>
      </c>
      <c r="N48" s="657">
        <f t="shared" si="11"/>
        <v>1850088.9007879389</v>
      </c>
      <c r="O48" s="589">
        <f t="shared" si="6"/>
        <v>70</v>
      </c>
      <c r="P48" s="654">
        <f t="shared" si="2"/>
        <v>44901.623509645258</v>
      </c>
      <c r="Q48" s="664">
        <f t="shared" si="3"/>
        <v>38407.406946555704</v>
      </c>
      <c r="R48" s="654">
        <f t="shared" si="7"/>
        <v>6494.2165630895543</v>
      </c>
      <c r="S48" s="656">
        <f t="shared" si="8"/>
        <v>5754616.825420266</v>
      </c>
      <c r="T48" s="657">
        <f t="shared" si="12"/>
        <v>1807221.8957171356</v>
      </c>
      <c r="V48" s="665">
        <f t="shared" si="13"/>
        <v>17215.761971827582</v>
      </c>
      <c r="W48" s="590">
        <f t="shared" si="9"/>
        <v>1053731.3198788227</v>
      </c>
      <c r="X48" s="589" t="b">
        <f t="shared" si="10"/>
        <v>0</v>
      </c>
    </row>
    <row r="49" spans="9:24" ht="16.5" hidden="1" customHeight="1">
      <c r="I49" s="589">
        <v>47</v>
      </c>
      <c r="J49" s="654">
        <f t="shared" si="0"/>
        <v>62117.38548147284</v>
      </c>
      <c r="K49" s="655">
        <f t="shared" si="1"/>
        <v>36617.927790934584</v>
      </c>
      <c r="L49" s="654">
        <f t="shared" si="4"/>
        <v>25499.457690538256</v>
      </c>
      <c r="M49" s="656">
        <f t="shared" si="5"/>
        <v>5467189.7109496491</v>
      </c>
      <c r="N49" s="657">
        <f t="shared" si="11"/>
        <v>1886706.8285788735</v>
      </c>
      <c r="O49" s="589">
        <f t="shared" si="6"/>
        <v>71</v>
      </c>
      <c r="P49" s="654">
        <f t="shared" si="2"/>
        <v>44901.623509645258</v>
      </c>
      <c r="Q49" s="664">
        <f t="shared" si="3"/>
        <v>38364.112169468441</v>
      </c>
      <c r="R49" s="654">
        <f t="shared" si="7"/>
        <v>6537.5113401768176</v>
      </c>
      <c r="S49" s="656">
        <f t="shared" si="8"/>
        <v>5748079.3140800893</v>
      </c>
      <c r="T49" s="657">
        <f t="shared" si="12"/>
        <v>1845586.0078866042</v>
      </c>
      <c r="V49" s="665">
        <f t="shared" si="13"/>
        <v>17215.761971827582</v>
      </c>
      <c r="W49" s="590">
        <f t="shared" si="9"/>
        <v>1083493.1379400901</v>
      </c>
      <c r="X49" s="589" t="b">
        <f t="shared" si="10"/>
        <v>0</v>
      </c>
    </row>
    <row r="50" spans="9:24" ht="16.5" hidden="1" customHeight="1">
      <c r="I50" s="589">
        <v>48</v>
      </c>
      <c r="J50" s="654">
        <f t="shared" si="0"/>
        <v>62117.38548147284</v>
      </c>
      <c r="K50" s="655">
        <f t="shared" si="1"/>
        <v>36447.931406330994</v>
      </c>
      <c r="L50" s="654">
        <f t="shared" si="4"/>
        <v>25669.454075141846</v>
      </c>
      <c r="M50" s="656">
        <f t="shared" si="5"/>
        <v>5441520.2568745073</v>
      </c>
      <c r="N50" s="657">
        <f t="shared" si="11"/>
        <v>1923154.7599852046</v>
      </c>
      <c r="O50" s="589">
        <f t="shared" si="6"/>
        <v>72</v>
      </c>
      <c r="P50" s="654">
        <f t="shared" si="2"/>
        <v>44901.623509645258</v>
      </c>
      <c r="Q50" s="664">
        <f t="shared" si="3"/>
        <v>38320.528760533933</v>
      </c>
      <c r="R50" s="654">
        <f t="shared" si="7"/>
        <v>6581.0947491113257</v>
      </c>
      <c r="S50" s="656">
        <f t="shared" si="8"/>
        <v>5741498.2193309776</v>
      </c>
      <c r="T50" s="657">
        <f t="shared" si="12"/>
        <v>1883906.5366471382</v>
      </c>
      <c r="V50" s="665">
        <f t="shared" si="13"/>
        <v>17215.761971827582</v>
      </c>
      <c r="W50" s="590">
        <f t="shared" si="9"/>
        <v>1113603.6132273292</v>
      </c>
      <c r="X50" s="589" t="b">
        <f t="shared" si="10"/>
        <v>0</v>
      </c>
    </row>
    <row r="51" spans="9:24" ht="16.5" hidden="1" customHeight="1">
      <c r="I51" s="589">
        <v>49</v>
      </c>
      <c r="J51" s="654">
        <f t="shared" si="0"/>
        <v>62117.38548147284</v>
      </c>
      <c r="K51" s="655">
        <f t="shared" si="1"/>
        <v>36276.801712496715</v>
      </c>
      <c r="L51" s="654">
        <f t="shared" si="4"/>
        <v>25840.583768976125</v>
      </c>
      <c r="M51" s="656">
        <f t="shared" si="5"/>
        <v>5415679.6731055314</v>
      </c>
      <c r="N51" s="657">
        <f t="shared" si="11"/>
        <v>1959431.5616977012</v>
      </c>
      <c r="O51" s="589">
        <f t="shared" si="6"/>
        <v>73</v>
      </c>
      <c r="P51" s="654">
        <f t="shared" si="2"/>
        <v>44901.623509645258</v>
      </c>
      <c r="Q51" s="664">
        <f t="shared" si="3"/>
        <v>38276.654795539856</v>
      </c>
      <c r="R51" s="654">
        <f t="shared" si="7"/>
        <v>6624.9687141054019</v>
      </c>
      <c r="S51" s="656">
        <f t="shared" si="8"/>
        <v>5734873.2506168727</v>
      </c>
      <c r="T51" s="657">
        <f t="shared" si="12"/>
        <v>1922183.191442678</v>
      </c>
      <c r="V51" s="665">
        <f t="shared" si="13"/>
        <v>17215.761971827582</v>
      </c>
      <c r="W51" s="590">
        <f t="shared" si="9"/>
        <v>1144066.8302309755</v>
      </c>
      <c r="X51" s="589" t="b">
        <f t="shared" si="10"/>
        <v>0</v>
      </c>
    </row>
    <row r="52" spans="9:24" ht="16.5" hidden="1" customHeight="1">
      <c r="I52" s="589">
        <v>50</v>
      </c>
      <c r="J52" s="654">
        <f t="shared" si="0"/>
        <v>62117.38548147284</v>
      </c>
      <c r="K52" s="655">
        <f t="shared" si="1"/>
        <v>36104.531154036878</v>
      </c>
      <c r="L52" s="654">
        <f t="shared" si="4"/>
        <v>26012.854327435962</v>
      </c>
      <c r="M52" s="656">
        <f t="shared" si="5"/>
        <v>5389666.8187780958</v>
      </c>
      <c r="N52" s="657">
        <f t="shared" si="11"/>
        <v>1995536.0928517382</v>
      </c>
      <c r="O52" s="589">
        <f t="shared" si="6"/>
        <v>74</v>
      </c>
      <c r="P52" s="654">
        <f t="shared" si="2"/>
        <v>44901.623509645258</v>
      </c>
      <c r="Q52" s="664">
        <f t="shared" si="3"/>
        <v>38232.488337445822</v>
      </c>
      <c r="R52" s="654">
        <f t="shared" si="7"/>
        <v>6669.1351721994361</v>
      </c>
      <c r="S52" s="656">
        <f t="shared" si="8"/>
        <v>5728204.1154446732</v>
      </c>
      <c r="T52" s="657">
        <f t="shared" si="12"/>
        <v>1960415.6797801238</v>
      </c>
      <c r="V52" s="665">
        <f t="shared" si="13"/>
        <v>17215.761971827582</v>
      </c>
      <c r="W52" s="590">
        <f t="shared" si="9"/>
        <v>1174886.9212909311</v>
      </c>
      <c r="X52" s="589" t="b">
        <f t="shared" si="10"/>
        <v>0</v>
      </c>
    </row>
    <row r="53" spans="9:24" ht="16.5" hidden="1" customHeight="1">
      <c r="I53" s="589">
        <v>51</v>
      </c>
      <c r="J53" s="654">
        <f t="shared" si="0"/>
        <v>62117.38548147284</v>
      </c>
      <c r="K53" s="655">
        <f t="shared" si="1"/>
        <v>35931.112125187305</v>
      </c>
      <c r="L53" s="654">
        <f t="shared" si="4"/>
        <v>26186.273356285536</v>
      </c>
      <c r="M53" s="656">
        <f t="shared" si="5"/>
        <v>5363480.5454218099</v>
      </c>
      <c r="N53" s="657">
        <f t="shared" si="11"/>
        <v>2031467.2049769256</v>
      </c>
      <c r="O53" s="589">
        <f t="shared" si="6"/>
        <v>75</v>
      </c>
      <c r="P53" s="654">
        <f t="shared" si="2"/>
        <v>44901.623509645258</v>
      </c>
      <c r="Q53" s="664">
        <f t="shared" si="3"/>
        <v>38188.027436297823</v>
      </c>
      <c r="R53" s="654">
        <f t="shared" si="7"/>
        <v>6713.5960733474349</v>
      </c>
      <c r="S53" s="656">
        <f t="shared" si="8"/>
        <v>5721490.5193713261</v>
      </c>
      <c r="T53" s="657">
        <f t="shared" si="12"/>
        <v>1998603.7072164216</v>
      </c>
      <c r="V53" s="665">
        <f t="shared" si="13"/>
        <v>17215.761971827582</v>
      </c>
      <c r="W53" s="590">
        <f t="shared" si="9"/>
        <v>1206068.0671571163</v>
      </c>
      <c r="X53" s="589" t="b">
        <f t="shared" si="10"/>
        <v>0</v>
      </c>
    </row>
    <row r="54" spans="9:24" ht="16.5" hidden="1" customHeight="1">
      <c r="I54" s="589">
        <v>52</v>
      </c>
      <c r="J54" s="654">
        <f t="shared" si="0"/>
        <v>62117.38548147284</v>
      </c>
      <c r="K54" s="655">
        <f t="shared" si="1"/>
        <v>35756.536969478737</v>
      </c>
      <c r="L54" s="654">
        <f t="shared" si="4"/>
        <v>26360.848511994103</v>
      </c>
      <c r="M54" s="656">
        <f t="shared" si="5"/>
        <v>5337119.696909816</v>
      </c>
      <c r="N54" s="657">
        <f t="shared" si="11"/>
        <v>2067223.7419464043</v>
      </c>
      <c r="O54" s="589">
        <f t="shared" si="6"/>
        <v>76</v>
      </c>
      <c r="P54" s="654">
        <f t="shared" si="2"/>
        <v>44901.623509645258</v>
      </c>
      <c r="Q54" s="664">
        <f t="shared" si="3"/>
        <v>38143.270129142176</v>
      </c>
      <c r="R54" s="654">
        <f t="shared" si="7"/>
        <v>6758.353380503082</v>
      </c>
      <c r="S54" s="656">
        <f t="shared" si="8"/>
        <v>5714732.1659908229</v>
      </c>
      <c r="T54" s="657">
        <f t="shared" si="12"/>
        <v>2036746.9773455637</v>
      </c>
      <c r="V54" s="665">
        <f t="shared" si="13"/>
        <v>17215.761971827582</v>
      </c>
      <c r="W54" s="590">
        <f t="shared" si="9"/>
        <v>1237614.4975565895</v>
      </c>
      <c r="X54" s="589" t="b">
        <f t="shared" si="10"/>
        <v>0</v>
      </c>
    </row>
    <row r="55" spans="9:24" ht="16.5" hidden="1" customHeight="1">
      <c r="I55" s="589">
        <v>53</v>
      </c>
      <c r="J55" s="654">
        <f t="shared" si="0"/>
        <v>62117.38548147284</v>
      </c>
      <c r="K55" s="655">
        <f t="shared" si="1"/>
        <v>35580.797979398776</v>
      </c>
      <c r="L55" s="654">
        <f t="shared" si="4"/>
        <v>26536.587502074064</v>
      </c>
      <c r="M55" s="656">
        <f t="shared" si="5"/>
        <v>5310583.1094077416</v>
      </c>
      <c r="N55" s="657">
        <f t="shared" si="11"/>
        <v>2102804.539925803</v>
      </c>
      <c r="O55" s="589">
        <f t="shared" si="6"/>
        <v>77</v>
      </c>
      <c r="P55" s="654">
        <f t="shared" si="2"/>
        <v>44901.623509645258</v>
      </c>
      <c r="Q55" s="664">
        <f t="shared" si="3"/>
        <v>38098.21443993882</v>
      </c>
      <c r="R55" s="654">
        <f t="shared" si="7"/>
        <v>6803.4090697064385</v>
      </c>
      <c r="S55" s="656">
        <f t="shared" si="8"/>
        <v>5707928.7569211163</v>
      </c>
      <c r="T55" s="657">
        <f t="shared" si="12"/>
        <v>2074845.1917855025</v>
      </c>
      <c r="V55" s="665">
        <f t="shared" si="13"/>
        <v>17215.761971827582</v>
      </c>
      <c r="W55" s="590">
        <f t="shared" si="9"/>
        <v>1269530.4917673108</v>
      </c>
      <c r="X55" s="589" t="b">
        <f t="shared" si="10"/>
        <v>0</v>
      </c>
    </row>
    <row r="56" spans="9:24" ht="16.5" hidden="1" customHeight="1">
      <c r="I56" s="589">
        <v>54</v>
      </c>
      <c r="J56" s="654">
        <f t="shared" si="0"/>
        <v>62117.38548147284</v>
      </c>
      <c r="K56" s="655">
        <f t="shared" si="1"/>
        <v>35403.887396051614</v>
      </c>
      <c r="L56" s="654">
        <f t="shared" si="4"/>
        <v>26713.498085421226</v>
      </c>
      <c r="M56" s="656">
        <f t="shared" si="5"/>
        <v>5283869.6113223201</v>
      </c>
      <c r="N56" s="657">
        <f t="shared" si="11"/>
        <v>2138208.4273218545</v>
      </c>
      <c r="O56" s="589">
        <f t="shared" si="6"/>
        <v>78</v>
      </c>
      <c r="P56" s="654">
        <f t="shared" si="2"/>
        <v>44901.623509645258</v>
      </c>
      <c r="Q56" s="664">
        <f t="shared" si="3"/>
        <v>38052.858379474113</v>
      </c>
      <c r="R56" s="654">
        <f t="shared" si="7"/>
        <v>6848.7651301711448</v>
      </c>
      <c r="S56" s="656">
        <f t="shared" si="8"/>
        <v>5701079.9917909447</v>
      </c>
      <c r="T56" s="657">
        <f t="shared" si="12"/>
        <v>2112898.0501649766</v>
      </c>
      <c r="V56" s="665">
        <f t="shared" si="13"/>
        <v>17215.761971827582</v>
      </c>
      <c r="W56" s="590">
        <f t="shared" si="9"/>
        <v>1301820.379198625</v>
      </c>
      <c r="X56" s="589" t="b">
        <f t="shared" si="10"/>
        <v>0</v>
      </c>
    </row>
    <row r="57" spans="9:24" ht="16.5" hidden="1" customHeight="1">
      <c r="I57" s="589">
        <v>55</v>
      </c>
      <c r="J57" s="654">
        <f t="shared" si="0"/>
        <v>62117.38548147284</v>
      </c>
      <c r="K57" s="655">
        <f t="shared" si="1"/>
        <v>35225.797408815466</v>
      </c>
      <c r="L57" s="654">
        <f t="shared" si="4"/>
        <v>26891.588072657374</v>
      </c>
      <c r="M57" s="656">
        <f t="shared" si="5"/>
        <v>5256978.0232496625</v>
      </c>
      <c r="N57" s="657">
        <f t="shared" si="11"/>
        <v>2173434.22473067</v>
      </c>
      <c r="O57" s="589">
        <f t="shared" si="6"/>
        <v>79</v>
      </c>
      <c r="P57" s="654">
        <f t="shared" si="2"/>
        <v>44901.623509645258</v>
      </c>
      <c r="Q57" s="664">
        <f t="shared" si="3"/>
        <v>38007.199945272965</v>
      </c>
      <c r="R57" s="654">
        <f t="shared" si="7"/>
        <v>6894.4235643722932</v>
      </c>
      <c r="S57" s="656">
        <f t="shared" si="8"/>
        <v>5694185.5682265721</v>
      </c>
      <c r="T57" s="657">
        <f t="shared" si="12"/>
        <v>2150905.2501102495</v>
      </c>
      <c r="V57" s="665">
        <f t="shared" si="13"/>
        <v>17215.761971827582</v>
      </c>
      <c r="W57" s="590">
        <f t="shared" si="9"/>
        <v>1334488.5399785484</v>
      </c>
      <c r="X57" s="589" t="b">
        <f t="shared" si="10"/>
        <v>0</v>
      </c>
    </row>
    <row r="58" spans="9:24" ht="16.5" hidden="1" customHeight="1">
      <c r="I58" s="589">
        <v>56</v>
      </c>
      <c r="J58" s="654">
        <f t="shared" si="0"/>
        <v>62117.38548147284</v>
      </c>
      <c r="K58" s="655">
        <f t="shared" si="1"/>
        <v>35046.52015499775</v>
      </c>
      <c r="L58" s="654">
        <f t="shared" si="4"/>
        <v>27070.86532647509</v>
      </c>
      <c r="M58" s="656">
        <f t="shared" si="5"/>
        <v>5229907.1579231871</v>
      </c>
      <c r="N58" s="657">
        <f t="shared" si="11"/>
        <v>2208480.7448856677</v>
      </c>
      <c r="O58" s="589">
        <f t="shared" si="6"/>
        <v>80</v>
      </c>
      <c r="P58" s="654">
        <f t="shared" si="2"/>
        <v>44901.623509645258</v>
      </c>
      <c r="Q58" s="664">
        <f t="shared" si="3"/>
        <v>37961.237121510487</v>
      </c>
      <c r="R58" s="654">
        <f t="shared" si="7"/>
        <v>6940.3863881347716</v>
      </c>
      <c r="S58" s="656">
        <f t="shared" si="8"/>
        <v>5687245.181838437</v>
      </c>
      <c r="T58" s="657">
        <f t="shared" si="12"/>
        <v>2188866.4872317598</v>
      </c>
      <c r="V58" s="665">
        <f t="shared" si="13"/>
        <v>17215.761971827582</v>
      </c>
      <c r="W58" s="590">
        <f t="shared" si="9"/>
        <v>1367539.4055479332</v>
      </c>
      <c r="X58" s="589" t="b">
        <f t="shared" si="10"/>
        <v>0</v>
      </c>
    </row>
    <row r="59" spans="9:24" ht="16.5" hidden="1" customHeight="1">
      <c r="I59" s="589">
        <v>57</v>
      </c>
      <c r="J59" s="654">
        <f t="shared" si="0"/>
        <v>62117.38548147284</v>
      </c>
      <c r="K59" s="655">
        <f t="shared" si="1"/>
        <v>34866.047719487913</v>
      </c>
      <c r="L59" s="654">
        <f t="shared" si="4"/>
        <v>27251.337761984927</v>
      </c>
      <c r="M59" s="656">
        <f t="shared" si="5"/>
        <v>5202655.820161202</v>
      </c>
      <c r="N59" s="657">
        <f t="shared" si="11"/>
        <v>2243346.7926051556</v>
      </c>
      <c r="O59" s="589">
        <f t="shared" si="6"/>
        <v>81</v>
      </c>
      <c r="P59" s="654">
        <f t="shared" si="2"/>
        <v>44901.623509645258</v>
      </c>
      <c r="Q59" s="664">
        <f t="shared" si="3"/>
        <v>37914.967878922915</v>
      </c>
      <c r="R59" s="654">
        <f t="shared" si="7"/>
        <v>6986.6556307223436</v>
      </c>
      <c r="S59" s="656">
        <f t="shared" si="8"/>
        <v>5680258.5262077143</v>
      </c>
      <c r="T59" s="657">
        <f t="shared" si="12"/>
        <v>2226781.4551106826</v>
      </c>
      <c r="V59" s="665">
        <f t="shared" si="13"/>
        <v>17215.761971827582</v>
      </c>
      <c r="W59" s="590">
        <f t="shared" si="9"/>
        <v>1400977.4592615925</v>
      </c>
      <c r="X59" s="589" t="b">
        <f t="shared" si="10"/>
        <v>0</v>
      </c>
    </row>
    <row r="60" spans="9:24" ht="16.5" hidden="1" customHeight="1">
      <c r="I60" s="589">
        <v>58</v>
      </c>
      <c r="J60" s="654">
        <f t="shared" si="0"/>
        <v>62117.38548147284</v>
      </c>
      <c r="K60" s="655">
        <f t="shared" si="1"/>
        <v>34684.372134408019</v>
      </c>
      <c r="L60" s="654">
        <f t="shared" si="4"/>
        <v>27433.013347064822</v>
      </c>
      <c r="M60" s="656">
        <f t="shared" si="5"/>
        <v>5175222.8068141369</v>
      </c>
      <c r="N60" s="657">
        <f t="shared" si="11"/>
        <v>2278031.1647395636</v>
      </c>
      <c r="O60" s="589">
        <f t="shared" si="6"/>
        <v>82</v>
      </c>
      <c r="P60" s="654">
        <f t="shared" si="2"/>
        <v>44901.623509645258</v>
      </c>
      <c r="Q60" s="664">
        <f t="shared" si="3"/>
        <v>37868.390174718101</v>
      </c>
      <c r="R60" s="654">
        <f t="shared" si="7"/>
        <v>7033.2333349271576</v>
      </c>
      <c r="S60" s="656">
        <f t="shared" si="8"/>
        <v>5673225.2928727875</v>
      </c>
      <c r="T60" s="657">
        <f t="shared" si="12"/>
        <v>2264649.8452854007</v>
      </c>
      <c r="V60" s="665">
        <f t="shared" si="13"/>
        <v>17215.761971827582</v>
      </c>
      <c r="W60" s="590">
        <f t="shared" si="9"/>
        <v>1434807.2369964689</v>
      </c>
      <c r="X60" s="589" t="b">
        <f t="shared" si="10"/>
        <v>0</v>
      </c>
    </row>
    <row r="61" spans="9:24" ht="16.5" hidden="1" customHeight="1">
      <c r="I61" s="589">
        <v>59</v>
      </c>
      <c r="J61" s="654">
        <f t="shared" si="0"/>
        <v>62117.38548147284</v>
      </c>
      <c r="K61" s="655">
        <f t="shared" si="1"/>
        <v>34501.485378760917</v>
      </c>
      <c r="L61" s="654">
        <f t="shared" si="4"/>
        <v>27615.900102711923</v>
      </c>
      <c r="M61" s="656">
        <f t="shared" si="5"/>
        <v>5147606.9067114247</v>
      </c>
      <c r="N61" s="657">
        <f t="shared" si="11"/>
        <v>2312532.6501183244</v>
      </c>
      <c r="O61" s="589">
        <f t="shared" si="6"/>
        <v>83</v>
      </c>
      <c r="P61" s="654">
        <f t="shared" si="2"/>
        <v>44901.623509645258</v>
      </c>
      <c r="Q61" s="664">
        <f t="shared" si="3"/>
        <v>37821.501952485254</v>
      </c>
      <c r="R61" s="654">
        <f t="shared" si="7"/>
        <v>7080.1215571600042</v>
      </c>
      <c r="S61" s="656">
        <f t="shared" si="8"/>
        <v>5666145.1713156272</v>
      </c>
      <c r="T61" s="657">
        <f t="shared" si="12"/>
        <v>2302471.3472378859</v>
      </c>
      <c r="V61" s="665">
        <f t="shared" si="13"/>
        <v>17215.761971827582</v>
      </c>
      <c r="W61" s="590">
        <f t="shared" si="9"/>
        <v>1469033.3277669265</v>
      </c>
      <c r="X61" s="589" t="b">
        <f t="shared" si="10"/>
        <v>0</v>
      </c>
    </row>
    <row r="62" spans="9:24" ht="16.5" hidden="1" customHeight="1">
      <c r="I62" s="589">
        <v>60</v>
      </c>
      <c r="J62" s="654">
        <f t="shared" si="0"/>
        <v>62117.38548147284</v>
      </c>
      <c r="K62" s="655">
        <f t="shared" si="1"/>
        <v>34317.37937807617</v>
      </c>
      <c r="L62" s="654">
        <f t="shared" si="4"/>
        <v>27800.00610339667</v>
      </c>
      <c r="M62" s="656">
        <f t="shared" si="5"/>
        <v>5119806.9006080283</v>
      </c>
      <c r="N62" s="657">
        <f t="shared" si="11"/>
        <v>2346850.0294964006</v>
      </c>
      <c r="O62" s="589">
        <f t="shared" si="6"/>
        <v>84</v>
      </c>
      <c r="P62" s="654">
        <f t="shared" si="2"/>
        <v>44901.623509645258</v>
      </c>
      <c r="Q62" s="664">
        <f t="shared" si="3"/>
        <v>37774.301142104181</v>
      </c>
      <c r="R62" s="654">
        <f t="shared" si="7"/>
        <v>7127.3223675410773</v>
      </c>
      <c r="S62" s="656">
        <f t="shared" si="8"/>
        <v>5659017.8489480857</v>
      </c>
      <c r="T62" s="657">
        <f t="shared" si="12"/>
        <v>2340245.6483799899</v>
      </c>
      <c r="V62" s="665">
        <f t="shared" si="13"/>
        <v>17215.761971827582</v>
      </c>
      <c r="W62" s="590">
        <f t="shared" si="9"/>
        <v>1503660.3743472514</v>
      </c>
      <c r="X62" s="589" t="b">
        <f t="shared" si="10"/>
        <v>0</v>
      </c>
    </row>
    <row r="63" spans="9:24" ht="16.5" hidden="1" customHeight="1">
      <c r="I63" s="589">
        <v>61</v>
      </c>
      <c r="J63" s="654">
        <f t="shared" si="0"/>
        <v>62117.38548147284</v>
      </c>
      <c r="K63" s="655">
        <f t="shared" si="1"/>
        <v>34132.046004053525</v>
      </c>
      <c r="L63" s="654">
        <f t="shared" si="4"/>
        <v>27985.339477419315</v>
      </c>
      <c r="M63" s="656">
        <f t="shared" si="5"/>
        <v>5091821.5611306094</v>
      </c>
      <c r="N63" s="657">
        <f t="shared" si="11"/>
        <v>2380982.0755004543</v>
      </c>
      <c r="O63" s="589">
        <f t="shared" si="6"/>
        <v>85</v>
      </c>
      <c r="P63" s="654">
        <f t="shared" si="2"/>
        <v>44901.623509645258</v>
      </c>
      <c r="Q63" s="664">
        <f t="shared" si="3"/>
        <v>37726.785659653906</v>
      </c>
      <c r="R63" s="654">
        <f t="shared" si="7"/>
        <v>7174.8378499913524</v>
      </c>
      <c r="S63" s="656">
        <f t="shared" si="8"/>
        <v>5651843.0110980943</v>
      </c>
      <c r="T63" s="657">
        <f t="shared" si="12"/>
        <v>2377972.434039644</v>
      </c>
      <c r="V63" s="665">
        <f t="shared" si="13"/>
        <v>17215.761971827582</v>
      </c>
      <c r="W63" s="590">
        <f t="shared" si="9"/>
        <v>1538693.0739014447</v>
      </c>
      <c r="X63" s="589" t="b">
        <f t="shared" si="10"/>
        <v>0</v>
      </c>
    </row>
    <row r="64" spans="9:24" ht="16.5" hidden="1" customHeight="1">
      <c r="I64" s="589">
        <v>62</v>
      </c>
      <c r="J64" s="654">
        <f t="shared" si="0"/>
        <v>62117.38548147284</v>
      </c>
      <c r="K64" s="655">
        <f t="shared" si="1"/>
        <v>33945.477074204064</v>
      </c>
      <c r="L64" s="654">
        <f t="shared" si="4"/>
        <v>28171.908407268777</v>
      </c>
      <c r="M64" s="656">
        <f t="shared" si="5"/>
        <v>5063649.6527233403</v>
      </c>
      <c r="N64" s="657">
        <f t="shared" si="11"/>
        <v>2414927.5525746583</v>
      </c>
      <c r="O64" s="589">
        <f t="shared" si="6"/>
        <v>86</v>
      </c>
      <c r="P64" s="654">
        <f t="shared" si="2"/>
        <v>44901.623509645258</v>
      </c>
      <c r="Q64" s="664">
        <f t="shared" si="3"/>
        <v>37678.953407320631</v>
      </c>
      <c r="R64" s="654">
        <f t="shared" si="7"/>
        <v>7222.6701023246278</v>
      </c>
      <c r="S64" s="656">
        <f t="shared" si="8"/>
        <v>5644620.3409957699</v>
      </c>
      <c r="T64" s="657">
        <f t="shared" si="12"/>
        <v>2415651.3874469646</v>
      </c>
      <c r="V64" s="665">
        <f t="shared" si="13"/>
        <v>17215.761971827582</v>
      </c>
      <c r="W64" s="590">
        <f t="shared" si="9"/>
        <v>1574136.1786203936</v>
      </c>
      <c r="X64" s="589" t="b">
        <f t="shared" si="10"/>
        <v>0</v>
      </c>
    </row>
    <row r="65" spans="9:24" ht="16.5" hidden="1" customHeight="1">
      <c r="I65" s="589">
        <v>63</v>
      </c>
      <c r="J65" s="654">
        <f t="shared" si="0"/>
        <v>62117.38548147284</v>
      </c>
      <c r="K65" s="655">
        <f t="shared" si="1"/>
        <v>33757.664351488937</v>
      </c>
      <c r="L65" s="654">
        <f t="shared" si="4"/>
        <v>28359.721129983904</v>
      </c>
      <c r="M65" s="656">
        <f t="shared" si="5"/>
        <v>5035289.9315933567</v>
      </c>
      <c r="N65" s="657">
        <f t="shared" si="11"/>
        <v>2448685.2169261472</v>
      </c>
      <c r="O65" s="589">
        <f t="shared" si="6"/>
        <v>87</v>
      </c>
      <c r="P65" s="654">
        <f t="shared" si="2"/>
        <v>44901.623509645258</v>
      </c>
      <c r="Q65" s="664">
        <f t="shared" si="3"/>
        <v>37630.802273305133</v>
      </c>
      <c r="R65" s="654">
        <f t="shared" si="7"/>
        <v>7270.8212363401253</v>
      </c>
      <c r="S65" s="656">
        <f t="shared" si="8"/>
        <v>5637349.5197594296</v>
      </c>
      <c r="T65" s="657">
        <f t="shared" si="12"/>
        <v>2453282.1897202698</v>
      </c>
      <c r="V65" s="665">
        <f t="shared" si="13"/>
        <v>17215.761971827582</v>
      </c>
      <c r="W65" s="590">
        <f t="shared" si="9"/>
        <v>1609994.4963665067</v>
      </c>
      <c r="X65" s="589" t="b">
        <f t="shared" si="10"/>
        <v>0</v>
      </c>
    </row>
    <row r="66" spans="9:24" ht="16.5" hidden="1" customHeight="1">
      <c r="I66" s="589">
        <v>64</v>
      </c>
      <c r="J66" s="654">
        <f t="shared" si="0"/>
        <v>62117.38548147284</v>
      </c>
      <c r="K66" s="655">
        <f t="shared" si="1"/>
        <v>33568.599543955715</v>
      </c>
      <c r="L66" s="654">
        <f t="shared" si="4"/>
        <v>28548.785937517125</v>
      </c>
      <c r="M66" s="656">
        <f t="shared" si="5"/>
        <v>5006741.1456558397</v>
      </c>
      <c r="N66" s="657">
        <f t="shared" si="11"/>
        <v>2482253.8164701029</v>
      </c>
      <c r="O66" s="589">
        <f t="shared" si="6"/>
        <v>88</v>
      </c>
      <c r="P66" s="654">
        <f t="shared" si="2"/>
        <v>44901.623509645258</v>
      </c>
      <c r="Q66" s="664">
        <f t="shared" si="3"/>
        <v>37582.330131729534</v>
      </c>
      <c r="R66" s="654">
        <f t="shared" si="7"/>
        <v>7319.2933779157247</v>
      </c>
      <c r="S66" s="656">
        <f t="shared" si="8"/>
        <v>5630030.2263815142</v>
      </c>
      <c r="T66" s="657">
        <f t="shared" si="12"/>
        <v>2490864.5198519994</v>
      </c>
      <c r="V66" s="665">
        <f t="shared" si="13"/>
        <v>17215.761971827582</v>
      </c>
      <c r="W66" s="590">
        <f t="shared" si="9"/>
        <v>1646272.891325901</v>
      </c>
      <c r="X66" s="589" t="b">
        <f t="shared" si="10"/>
        <v>0</v>
      </c>
    </row>
    <row r="67" spans="9:24" ht="16.5" hidden="1" customHeight="1">
      <c r="I67" s="589">
        <v>65</v>
      </c>
      <c r="J67" s="654">
        <f t="shared" ref="J67:J130" si="14">$C$8</f>
        <v>62117.38548147284</v>
      </c>
      <c r="K67" s="655">
        <f t="shared" ref="K67:K130" si="15">M66*($C$6/12)</f>
        <v>33378.274304372266</v>
      </c>
      <c r="L67" s="654">
        <f t="shared" si="4"/>
        <v>28739.111177100574</v>
      </c>
      <c r="M67" s="656">
        <f t="shared" si="5"/>
        <v>4978002.0344787389</v>
      </c>
      <c r="N67" s="657">
        <f t="shared" si="11"/>
        <v>2515632.0907744751</v>
      </c>
      <c r="O67" s="589">
        <f t="shared" si="6"/>
        <v>89</v>
      </c>
      <c r="P67" s="654">
        <f t="shared" ref="P67:P130" si="16">$C$15</f>
        <v>44901.623509645258</v>
      </c>
      <c r="Q67" s="664">
        <f t="shared" ref="Q67:Q130" si="17">S66*($C$6/12)</f>
        <v>37533.534842543428</v>
      </c>
      <c r="R67" s="654">
        <f t="shared" si="7"/>
        <v>7368.0886671018307</v>
      </c>
      <c r="S67" s="656">
        <f t="shared" si="8"/>
        <v>5622662.1377144121</v>
      </c>
      <c r="T67" s="657">
        <f t="shared" si="12"/>
        <v>2528398.0546945427</v>
      </c>
      <c r="V67" s="665">
        <f t="shared" si="13"/>
        <v>17215.761971827582</v>
      </c>
      <c r="W67" s="590">
        <f t="shared" si="9"/>
        <v>1682976.2846682305</v>
      </c>
      <c r="X67" s="589" t="b">
        <f t="shared" si="10"/>
        <v>0</v>
      </c>
    </row>
    <row r="68" spans="9:24" ht="16.5" hidden="1" customHeight="1">
      <c r="I68" s="589">
        <v>66</v>
      </c>
      <c r="J68" s="654">
        <f t="shared" si="14"/>
        <v>62117.38548147284</v>
      </c>
      <c r="K68" s="655">
        <f t="shared" si="15"/>
        <v>33186.680229858262</v>
      </c>
      <c r="L68" s="654">
        <f t="shared" ref="L68:L131" si="18">J68-K68</f>
        <v>28930.705251614578</v>
      </c>
      <c r="M68" s="656">
        <f t="shared" ref="M68:M131" si="19">M67-L68</f>
        <v>4949071.3292271243</v>
      </c>
      <c r="N68" s="657">
        <f t="shared" si="11"/>
        <v>2548818.7710043332</v>
      </c>
      <c r="O68" s="589">
        <f t="shared" ref="O68:O131" si="20">O67+1</f>
        <v>90</v>
      </c>
      <c r="P68" s="654">
        <f t="shared" si="16"/>
        <v>44901.623509645258</v>
      </c>
      <c r="Q68" s="664">
        <f t="shared" si="17"/>
        <v>37484.414251429414</v>
      </c>
      <c r="R68" s="654">
        <f t="shared" ref="R68:R131" si="21">P68-Q68</f>
        <v>7417.2092582158439</v>
      </c>
      <c r="S68" s="656">
        <f t="shared" ref="S68:S131" si="22">S67-R68</f>
        <v>5615244.9284561966</v>
      </c>
      <c r="T68" s="657">
        <f t="shared" si="12"/>
        <v>2565882.4689459722</v>
      </c>
      <c r="V68" s="665">
        <f t="shared" si="13"/>
        <v>17215.761971827582</v>
      </c>
      <c r="W68" s="590">
        <f t="shared" ref="W68:W131" si="23">FV((1+Scenario1)^(1/12)-1,1,-V68,-W67,1)</f>
        <v>1720109.6552142419</v>
      </c>
      <c r="X68" s="589" t="b">
        <f t="shared" ref="X68:X131" si="24">W68&gt;=S68</f>
        <v>0</v>
      </c>
    </row>
    <row r="69" spans="9:24" ht="16.5" hidden="1" customHeight="1">
      <c r="I69" s="589">
        <v>67</v>
      </c>
      <c r="J69" s="654">
        <f t="shared" si="14"/>
        <v>62117.38548147284</v>
      </c>
      <c r="K69" s="655">
        <f t="shared" si="15"/>
        <v>32993.808861514168</v>
      </c>
      <c r="L69" s="654">
        <f t="shared" si="18"/>
        <v>29123.576619958672</v>
      </c>
      <c r="M69" s="656">
        <f t="shared" si="19"/>
        <v>4919947.7526071658</v>
      </c>
      <c r="N69" s="657">
        <f t="shared" ref="N69:N132" si="25">N68+K69</f>
        <v>2581812.5798658472</v>
      </c>
      <c r="O69" s="589">
        <f t="shared" si="20"/>
        <v>91</v>
      </c>
      <c r="P69" s="654">
        <f t="shared" si="16"/>
        <v>44901.623509645258</v>
      </c>
      <c r="Q69" s="664">
        <f t="shared" si="17"/>
        <v>37434.966189707979</v>
      </c>
      <c r="R69" s="654">
        <f t="shared" si="21"/>
        <v>7466.6573199372797</v>
      </c>
      <c r="S69" s="656">
        <f t="shared" si="22"/>
        <v>5607778.2711362597</v>
      </c>
      <c r="T69" s="657">
        <f t="shared" ref="T69:T132" si="26">T68+Q69</f>
        <v>2603317.4351356803</v>
      </c>
      <c r="V69" s="665">
        <f t="shared" ref="V69:V132" si="27">V68</f>
        <v>17215.761971827582</v>
      </c>
      <c r="W69" s="590">
        <f t="shared" si="23"/>
        <v>1757678.0401111541</v>
      </c>
      <c r="X69" s="589" t="b">
        <f t="shared" si="24"/>
        <v>0</v>
      </c>
    </row>
    <row r="70" spans="9:24" ht="16.5" hidden="1" customHeight="1">
      <c r="I70" s="589">
        <v>68</v>
      </c>
      <c r="J70" s="654">
        <f t="shared" si="14"/>
        <v>62117.38548147284</v>
      </c>
      <c r="K70" s="655">
        <f t="shared" si="15"/>
        <v>32799.651684047778</v>
      </c>
      <c r="L70" s="654">
        <f t="shared" si="18"/>
        <v>29317.733797425062</v>
      </c>
      <c r="M70" s="656">
        <f t="shared" si="19"/>
        <v>4890630.0188097404</v>
      </c>
      <c r="N70" s="657">
        <f t="shared" si="25"/>
        <v>2614612.2315498949</v>
      </c>
      <c r="O70" s="589">
        <f t="shared" si="20"/>
        <v>92</v>
      </c>
      <c r="P70" s="654">
        <f t="shared" si="16"/>
        <v>44901.623509645258</v>
      </c>
      <c r="Q70" s="664">
        <f t="shared" si="17"/>
        <v>37385.188474241731</v>
      </c>
      <c r="R70" s="654">
        <f t="shared" si="21"/>
        <v>7516.4350354035269</v>
      </c>
      <c r="S70" s="656">
        <f t="shared" si="22"/>
        <v>5600261.8361008558</v>
      </c>
      <c r="T70" s="657">
        <f t="shared" si="26"/>
        <v>2640702.6236099219</v>
      </c>
      <c r="V70" s="665">
        <f t="shared" si="27"/>
        <v>17215.761971827582</v>
      </c>
      <c r="W70" s="590">
        <f t="shared" si="23"/>
        <v>1795686.5355159466</v>
      </c>
      <c r="X70" s="589" t="b">
        <f t="shared" si="24"/>
        <v>0</v>
      </c>
    </row>
    <row r="71" spans="9:24" ht="16.5" hidden="1" customHeight="1">
      <c r="I71" s="589">
        <v>69</v>
      </c>
      <c r="J71" s="654">
        <f t="shared" si="14"/>
        <v>62117.38548147284</v>
      </c>
      <c r="K71" s="655">
        <f t="shared" si="15"/>
        <v>32604.200125398271</v>
      </c>
      <c r="L71" s="654">
        <f t="shared" si="18"/>
        <v>29513.185356074569</v>
      </c>
      <c r="M71" s="656">
        <f t="shared" si="19"/>
        <v>4861116.8334536655</v>
      </c>
      <c r="N71" s="657">
        <f t="shared" si="25"/>
        <v>2647216.431675293</v>
      </c>
      <c r="O71" s="589">
        <f t="shared" si="20"/>
        <v>93</v>
      </c>
      <c r="P71" s="654">
        <f t="shared" si="16"/>
        <v>44901.623509645258</v>
      </c>
      <c r="Q71" s="664">
        <f t="shared" si="17"/>
        <v>37335.078907339041</v>
      </c>
      <c r="R71" s="654">
        <f t="shared" si="21"/>
        <v>7566.5446023062177</v>
      </c>
      <c r="S71" s="656">
        <f t="shared" si="22"/>
        <v>5592695.2914985493</v>
      </c>
      <c r="T71" s="657">
        <f t="shared" si="26"/>
        <v>2678037.7025172608</v>
      </c>
      <c r="V71" s="665">
        <f t="shared" si="27"/>
        <v>17215.761971827582</v>
      </c>
      <c r="W71" s="590">
        <f t="shared" si="23"/>
        <v>1834140.2972866548</v>
      </c>
      <c r="X71" s="589" t="b">
        <f t="shared" si="24"/>
        <v>0</v>
      </c>
    </row>
    <row r="72" spans="9:24" ht="16.5" hidden="1" customHeight="1">
      <c r="I72" s="589">
        <v>70</v>
      </c>
      <c r="J72" s="654">
        <f t="shared" si="14"/>
        <v>62117.38548147284</v>
      </c>
      <c r="K72" s="655">
        <f t="shared" si="15"/>
        <v>32407.445556357772</v>
      </c>
      <c r="L72" s="654">
        <f t="shared" si="18"/>
        <v>29709.939925115068</v>
      </c>
      <c r="M72" s="656">
        <f t="shared" si="19"/>
        <v>4831406.8935285509</v>
      </c>
      <c r="N72" s="657">
        <f t="shared" si="25"/>
        <v>2679623.877231651</v>
      </c>
      <c r="O72" s="589">
        <f t="shared" si="20"/>
        <v>94</v>
      </c>
      <c r="P72" s="654">
        <f t="shared" si="16"/>
        <v>44901.623509645258</v>
      </c>
      <c r="Q72" s="664">
        <f t="shared" si="17"/>
        <v>37284.635276656998</v>
      </c>
      <c r="R72" s="654">
        <f t="shared" si="21"/>
        <v>7616.9882329882603</v>
      </c>
      <c r="S72" s="656">
        <f t="shared" si="22"/>
        <v>5585078.3032655613</v>
      </c>
      <c r="T72" s="657">
        <f t="shared" si="26"/>
        <v>2715322.3377939179</v>
      </c>
      <c r="V72" s="665">
        <f t="shared" si="27"/>
        <v>17215.761971827582</v>
      </c>
      <c r="W72" s="590">
        <f t="shared" si="23"/>
        <v>1873044.5416817628</v>
      </c>
      <c r="X72" s="589" t="b">
        <f t="shared" si="24"/>
        <v>0</v>
      </c>
    </row>
    <row r="73" spans="9:24" ht="16.5" hidden="1" customHeight="1">
      <c r="I73" s="589">
        <v>71</v>
      </c>
      <c r="J73" s="654">
        <f t="shared" si="14"/>
        <v>62117.38548147284</v>
      </c>
      <c r="K73" s="655">
        <f t="shared" si="15"/>
        <v>32209.37929019034</v>
      </c>
      <c r="L73" s="654">
        <f t="shared" si="18"/>
        <v>29908.0061912825</v>
      </c>
      <c r="M73" s="656">
        <f t="shared" si="19"/>
        <v>4801498.8873372683</v>
      </c>
      <c r="N73" s="657">
        <f t="shared" si="25"/>
        <v>2711833.2565218415</v>
      </c>
      <c r="O73" s="589">
        <f t="shared" si="20"/>
        <v>95</v>
      </c>
      <c r="P73" s="654">
        <f t="shared" si="16"/>
        <v>44901.623509645258</v>
      </c>
      <c r="Q73" s="664">
        <f t="shared" si="17"/>
        <v>37233.855355103748</v>
      </c>
      <c r="R73" s="654">
        <f t="shared" si="21"/>
        <v>7667.7681545415107</v>
      </c>
      <c r="S73" s="656">
        <f t="shared" si="22"/>
        <v>5577410.5351110194</v>
      </c>
      <c r="T73" s="657">
        <f t="shared" si="26"/>
        <v>2752556.1931490218</v>
      </c>
      <c r="V73" s="665">
        <f t="shared" si="27"/>
        <v>17215.761971827582</v>
      </c>
      <c r="W73" s="590">
        <f t="shared" si="23"/>
        <v>1912404.5460677892</v>
      </c>
      <c r="X73" s="589" t="b">
        <f t="shared" si="24"/>
        <v>0</v>
      </c>
    </row>
    <row r="74" spans="9:24" ht="16.5" hidden="1" customHeight="1">
      <c r="I74" s="589">
        <v>72</v>
      </c>
      <c r="J74" s="654">
        <f t="shared" si="14"/>
        <v>62117.38548147284</v>
      </c>
      <c r="K74" s="655">
        <f t="shared" si="15"/>
        <v>32009.992582248458</v>
      </c>
      <c r="L74" s="654">
        <f t="shared" si="18"/>
        <v>30107.392899224382</v>
      </c>
      <c r="M74" s="656">
        <f t="shared" si="19"/>
        <v>4771391.4944380438</v>
      </c>
      <c r="N74" s="657">
        <f t="shared" si="25"/>
        <v>2743843.24910409</v>
      </c>
      <c r="O74" s="589">
        <f t="shared" si="20"/>
        <v>96</v>
      </c>
      <c r="P74" s="654">
        <f t="shared" si="16"/>
        <v>44901.623509645258</v>
      </c>
      <c r="Q74" s="664">
        <f t="shared" si="17"/>
        <v>37182.736900740128</v>
      </c>
      <c r="R74" s="654">
        <f t="shared" si="21"/>
        <v>7718.8866089051298</v>
      </c>
      <c r="S74" s="656">
        <f t="shared" si="22"/>
        <v>5569691.6485021142</v>
      </c>
      <c r="T74" s="657">
        <f t="shared" si="26"/>
        <v>2789738.9300497621</v>
      </c>
      <c r="V74" s="665">
        <f t="shared" si="27"/>
        <v>17215.761971827582</v>
      </c>
      <c r="W74" s="590">
        <f t="shared" si="23"/>
        <v>1952225.6496351629</v>
      </c>
      <c r="X74" s="589" t="b">
        <f t="shared" si="24"/>
        <v>0</v>
      </c>
    </row>
    <row r="75" spans="9:24" ht="16.5" hidden="1" customHeight="1">
      <c r="I75" s="589">
        <v>73</v>
      </c>
      <c r="J75" s="654">
        <f t="shared" si="14"/>
        <v>62117.38548147284</v>
      </c>
      <c r="K75" s="655">
        <f t="shared" si="15"/>
        <v>31809.276629586962</v>
      </c>
      <c r="L75" s="654">
        <f t="shared" si="18"/>
        <v>30308.108851885878</v>
      </c>
      <c r="M75" s="656">
        <f t="shared" si="19"/>
        <v>4741083.3855861584</v>
      </c>
      <c r="N75" s="657">
        <f t="shared" si="25"/>
        <v>2775652.5257336772</v>
      </c>
      <c r="O75" s="589">
        <f t="shared" si="20"/>
        <v>97</v>
      </c>
      <c r="P75" s="654">
        <f t="shared" si="16"/>
        <v>44901.623509645258</v>
      </c>
      <c r="Q75" s="664">
        <f t="shared" si="17"/>
        <v>37131.277656680766</v>
      </c>
      <c r="R75" s="654">
        <f t="shared" si="21"/>
        <v>7770.3458529644922</v>
      </c>
      <c r="S75" s="656">
        <f t="shared" si="22"/>
        <v>5561921.3026491497</v>
      </c>
      <c r="T75" s="657">
        <f t="shared" si="26"/>
        <v>2826870.207706443</v>
      </c>
      <c r="V75" s="665">
        <f t="shared" si="27"/>
        <v>17215.761971827582</v>
      </c>
      <c r="W75" s="590">
        <f t="shared" si="23"/>
        <v>1992513.2541224852</v>
      </c>
      <c r="X75" s="589" t="b">
        <f t="shared" si="24"/>
        <v>0</v>
      </c>
    </row>
    <row r="76" spans="9:24" ht="16.5" hidden="1" customHeight="1">
      <c r="I76" s="589">
        <v>74</v>
      </c>
      <c r="J76" s="654">
        <f t="shared" si="14"/>
        <v>62117.38548147284</v>
      </c>
      <c r="K76" s="655">
        <f t="shared" si="15"/>
        <v>31607.222570574391</v>
      </c>
      <c r="L76" s="654">
        <f t="shared" si="18"/>
        <v>30510.162910898449</v>
      </c>
      <c r="M76" s="656">
        <f t="shared" si="19"/>
        <v>4710573.2226752602</v>
      </c>
      <c r="N76" s="657">
        <f t="shared" si="25"/>
        <v>2807259.7483042516</v>
      </c>
      <c r="O76" s="589">
        <f t="shared" si="20"/>
        <v>98</v>
      </c>
      <c r="P76" s="654">
        <f t="shared" si="16"/>
        <v>44901.623509645258</v>
      </c>
      <c r="Q76" s="664">
        <f t="shared" si="17"/>
        <v>37079.475350994333</v>
      </c>
      <c r="R76" s="654">
        <f t="shared" si="21"/>
        <v>7822.1481586509253</v>
      </c>
      <c r="S76" s="656">
        <f t="shared" si="22"/>
        <v>5554099.1544904988</v>
      </c>
      <c r="T76" s="657">
        <f t="shared" si="26"/>
        <v>2863949.6830574372</v>
      </c>
      <c r="V76" s="665">
        <f t="shared" si="27"/>
        <v>17215.761971827582</v>
      </c>
      <c r="W76" s="590">
        <f t="shared" si="23"/>
        <v>2033272.8245492764</v>
      </c>
      <c r="X76" s="589" t="b">
        <f t="shared" si="24"/>
        <v>0</v>
      </c>
    </row>
    <row r="77" spans="9:24" ht="16.5" hidden="1" customHeight="1">
      <c r="I77" s="589">
        <v>75</v>
      </c>
      <c r="J77" s="654">
        <f t="shared" si="14"/>
        <v>62117.38548147284</v>
      </c>
      <c r="K77" s="655">
        <f t="shared" si="15"/>
        <v>31403.821484501736</v>
      </c>
      <c r="L77" s="654">
        <f t="shared" si="18"/>
        <v>30713.563996971105</v>
      </c>
      <c r="M77" s="656">
        <f t="shared" si="19"/>
        <v>4679859.6586782895</v>
      </c>
      <c r="N77" s="657">
        <f t="shared" si="25"/>
        <v>2838663.5697887535</v>
      </c>
      <c r="O77" s="589">
        <f t="shared" si="20"/>
        <v>99</v>
      </c>
      <c r="P77" s="654">
        <f t="shared" si="16"/>
        <v>44901.623509645258</v>
      </c>
      <c r="Q77" s="664">
        <f t="shared" si="17"/>
        <v>37027.32769660333</v>
      </c>
      <c r="R77" s="654">
        <f t="shared" si="21"/>
        <v>7874.2958130419283</v>
      </c>
      <c r="S77" s="656">
        <f t="shared" si="22"/>
        <v>5546224.8586774571</v>
      </c>
      <c r="T77" s="657">
        <f t="shared" si="26"/>
        <v>2900977.0107540404</v>
      </c>
      <c r="V77" s="665">
        <f t="shared" si="27"/>
        <v>17215.761971827582</v>
      </c>
      <c r="W77" s="590">
        <f t="shared" si="23"/>
        <v>2074509.8899573064</v>
      </c>
      <c r="X77" s="589" t="b">
        <f t="shared" si="24"/>
        <v>0</v>
      </c>
    </row>
    <row r="78" spans="9:24" ht="16.5" hidden="1" customHeight="1">
      <c r="I78" s="589">
        <v>76</v>
      </c>
      <c r="J78" s="654">
        <f t="shared" si="14"/>
        <v>62117.38548147284</v>
      </c>
      <c r="K78" s="655">
        <f t="shared" si="15"/>
        <v>31199.0643911886</v>
      </c>
      <c r="L78" s="654">
        <f t="shared" si="18"/>
        <v>30918.32109028424</v>
      </c>
      <c r="M78" s="656">
        <f t="shared" si="19"/>
        <v>4648941.3375880057</v>
      </c>
      <c r="N78" s="657">
        <f t="shared" si="25"/>
        <v>2869862.6341799423</v>
      </c>
      <c r="O78" s="589">
        <f t="shared" si="20"/>
        <v>100</v>
      </c>
      <c r="P78" s="654">
        <f t="shared" si="16"/>
        <v>44901.623509645258</v>
      </c>
      <c r="Q78" s="664">
        <f t="shared" si="17"/>
        <v>36974.832391183052</v>
      </c>
      <c r="R78" s="654">
        <f t="shared" si="21"/>
        <v>7926.7911184622062</v>
      </c>
      <c r="S78" s="656">
        <f t="shared" si="22"/>
        <v>5538298.0675589945</v>
      </c>
      <c r="T78" s="657">
        <f t="shared" si="26"/>
        <v>2937951.8431452233</v>
      </c>
      <c r="V78" s="665">
        <f t="shared" si="27"/>
        <v>17215.761971827582</v>
      </c>
      <c r="W78" s="590">
        <f t="shared" si="23"/>
        <v>2116230.0441606101</v>
      </c>
      <c r="X78" s="589" t="b">
        <f t="shared" si="24"/>
        <v>0</v>
      </c>
    </row>
    <row r="79" spans="9:24" ht="16.5" hidden="1" customHeight="1">
      <c r="I79" s="589">
        <v>77</v>
      </c>
      <c r="J79" s="654">
        <f t="shared" si="14"/>
        <v>62117.38548147284</v>
      </c>
      <c r="K79" s="655">
        <f t="shared" si="15"/>
        <v>30992.942250586708</v>
      </c>
      <c r="L79" s="654">
        <f t="shared" si="18"/>
        <v>31124.443230886132</v>
      </c>
      <c r="M79" s="656">
        <f t="shared" si="19"/>
        <v>4617816.8943571197</v>
      </c>
      <c r="N79" s="657">
        <f t="shared" si="25"/>
        <v>2900855.5764305289</v>
      </c>
      <c r="O79" s="589">
        <f t="shared" si="20"/>
        <v>101</v>
      </c>
      <c r="P79" s="654">
        <f t="shared" si="16"/>
        <v>44901.623509645258</v>
      </c>
      <c r="Q79" s="664">
        <f t="shared" si="17"/>
        <v>36921.987117059965</v>
      </c>
      <c r="R79" s="654">
        <f t="shared" si="21"/>
        <v>7979.6363925852929</v>
      </c>
      <c r="S79" s="656">
        <f t="shared" si="22"/>
        <v>5530318.4311664095</v>
      </c>
      <c r="T79" s="657">
        <f t="shared" si="26"/>
        <v>2974873.8302622833</v>
      </c>
      <c r="V79" s="665">
        <f t="shared" si="27"/>
        <v>17215.761971827582</v>
      </c>
      <c r="W79" s="590">
        <f t="shared" si="23"/>
        <v>2158438.9465042888</v>
      </c>
      <c r="X79" s="589" t="b">
        <f t="shared" si="24"/>
        <v>0</v>
      </c>
    </row>
    <row r="80" spans="9:24" ht="16.5" hidden="1" customHeight="1">
      <c r="I80" s="589">
        <v>78</v>
      </c>
      <c r="J80" s="654">
        <f t="shared" si="14"/>
        <v>62117.38548147284</v>
      </c>
      <c r="K80" s="655">
        <f t="shared" si="15"/>
        <v>30785.4459623808</v>
      </c>
      <c r="L80" s="654">
        <f t="shared" si="18"/>
        <v>31331.93951909204</v>
      </c>
      <c r="M80" s="656">
        <f t="shared" si="19"/>
        <v>4586484.9548380272</v>
      </c>
      <c r="N80" s="657">
        <f t="shared" si="25"/>
        <v>2931641.0223929095</v>
      </c>
      <c r="O80" s="589">
        <f t="shared" si="20"/>
        <v>102</v>
      </c>
      <c r="P80" s="654">
        <f t="shared" si="16"/>
        <v>44901.623509645258</v>
      </c>
      <c r="Q80" s="664">
        <f t="shared" si="17"/>
        <v>36868.7895411094</v>
      </c>
      <c r="R80" s="654">
        <f t="shared" si="21"/>
        <v>8032.8339685358587</v>
      </c>
      <c r="S80" s="656">
        <f t="shared" si="22"/>
        <v>5522285.5971978735</v>
      </c>
      <c r="T80" s="657">
        <f t="shared" si="26"/>
        <v>3011742.6198033928</v>
      </c>
      <c r="V80" s="665">
        <f t="shared" si="27"/>
        <v>17215.761971827582</v>
      </c>
      <c r="W80" s="590">
        <f t="shared" si="23"/>
        <v>2201142.3226322019</v>
      </c>
      <c r="X80" s="589" t="b">
        <f t="shared" si="24"/>
        <v>0</v>
      </c>
    </row>
    <row r="81" spans="9:24" ht="16.5" hidden="1" customHeight="1">
      <c r="I81" s="589">
        <v>79</v>
      </c>
      <c r="J81" s="654">
        <f t="shared" si="14"/>
        <v>62117.38548147284</v>
      </c>
      <c r="K81" s="655">
        <f t="shared" si="15"/>
        <v>30576.566365586852</v>
      </c>
      <c r="L81" s="654">
        <f t="shared" si="18"/>
        <v>31540.819115885988</v>
      </c>
      <c r="M81" s="656">
        <f t="shared" si="19"/>
        <v>4554944.1357221417</v>
      </c>
      <c r="N81" s="657">
        <f t="shared" si="25"/>
        <v>2962217.5887584966</v>
      </c>
      <c r="O81" s="589">
        <f t="shared" si="20"/>
        <v>103</v>
      </c>
      <c r="P81" s="654">
        <f t="shared" si="16"/>
        <v>44901.623509645258</v>
      </c>
      <c r="Q81" s="664">
        <f t="shared" si="17"/>
        <v>36815.237314652491</v>
      </c>
      <c r="R81" s="654">
        <f t="shared" si="21"/>
        <v>8086.3861949927668</v>
      </c>
      <c r="S81" s="656">
        <f t="shared" si="22"/>
        <v>5514199.2110028807</v>
      </c>
      <c r="T81" s="657">
        <f t="shared" si="26"/>
        <v>3048557.8571180454</v>
      </c>
      <c r="V81" s="665">
        <f t="shared" si="27"/>
        <v>17215.761971827582</v>
      </c>
      <c r="W81" s="590">
        <f t="shared" si="23"/>
        <v>2244345.9652636508</v>
      </c>
      <c r="X81" s="589" t="b">
        <f t="shared" si="24"/>
        <v>0</v>
      </c>
    </row>
    <row r="82" spans="9:24" ht="16.5" hidden="1" customHeight="1">
      <c r="I82" s="589">
        <v>80</v>
      </c>
      <c r="J82" s="654">
        <f t="shared" si="14"/>
        <v>62117.38548147284</v>
      </c>
      <c r="K82" s="655">
        <f t="shared" si="15"/>
        <v>30366.294238147613</v>
      </c>
      <c r="L82" s="654">
        <f t="shared" si="18"/>
        <v>31751.091243325227</v>
      </c>
      <c r="M82" s="656">
        <f t="shared" si="19"/>
        <v>4523193.0444788169</v>
      </c>
      <c r="N82" s="657">
        <f t="shared" si="25"/>
        <v>2992583.8829966444</v>
      </c>
      <c r="O82" s="589">
        <f t="shared" si="20"/>
        <v>104</v>
      </c>
      <c r="P82" s="654">
        <f t="shared" si="16"/>
        <v>44901.623509645258</v>
      </c>
      <c r="Q82" s="664">
        <f t="shared" si="17"/>
        <v>36761.328073352539</v>
      </c>
      <c r="R82" s="654">
        <f t="shared" si="21"/>
        <v>8140.2954362927194</v>
      </c>
      <c r="S82" s="656">
        <f t="shared" si="22"/>
        <v>5506058.9155665878</v>
      </c>
      <c r="T82" s="657">
        <f t="shared" si="26"/>
        <v>3085319.185191398</v>
      </c>
      <c r="V82" s="665">
        <f t="shared" si="27"/>
        <v>17215.761971827582</v>
      </c>
      <c r="W82" s="590">
        <f t="shared" si="23"/>
        <v>2288055.734979162</v>
      </c>
      <c r="X82" s="589" t="b">
        <f t="shared" si="24"/>
        <v>0</v>
      </c>
    </row>
    <row r="83" spans="9:24" ht="16.5" hidden="1" customHeight="1">
      <c r="I83" s="589">
        <v>81</v>
      </c>
      <c r="J83" s="654">
        <f t="shared" si="14"/>
        <v>62117.38548147284</v>
      </c>
      <c r="K83" s="655">
        <f t="shared" si="15"/>
        <v>30154.620296525449</v>
      </c>
      <c r="L83" s="654">
        <f t="shared" si="18"/>
        <v>31962.765184947391</v>
      </c>
      <c r="M83" s="656">
        <f t="shared" si="19"/>
        <v>4491230.2792938696</v>
      </c>
      <c r="N83" s="657">
        <f t="shared" si="25"/>
        <v>3022738.5032931697</v>
      </c>
      <c r="O83" s="589">
        <f t="shared" si="20"/>
        <v>105</v>
      </c>
      <c r="P83" s="654">
        <f t="shared" si="16"/>
        <v>44901.623509645258</v>
      </c>
      <c r="Q83" s="664">
        <f t="shared" si="17"/>
        <v>36707.059437110591</v>
      </c>
      <c r="R83" s="654">
        <f t="shared" si="21"/>
        <v>8194.5640725346675</v>
      </c>
      <c r="S83" s="656">
        <f t="shared" si="22"/>
        <v>5497864.3514940534</v>
      </c>
      <c r="T83" s="657">
        <f t="shared" si="26"/>
        <v>3122026.2446285086</v>
      </c>
      <c r="V83" s="665">
        <f t="shared" si="27"/>
        <v>17215.761971827582</v>
      </c>
      <c r="W83" s="590">
        <f t="shared" si="23"/>
        <v>2332277.5610154765</v>
      </c>
      <c r="X83" s="589" t="b">
        <f t="shared" si="24"/>
        <v>0</v>
      </c>
    </row>
    <row r="84" spans="9:24" ht="16.5" hidden="1" customHeight="1">
      <c r="I84" s="589">
        <v>82</v>
      </c>
      <c r="J84" s="654">
        <f t="shared" si="14"/>
        <v>62117.38548147284</v>
      </c>
      <c r="K84" s="655">
        <f t="shared" si="15"/>
        <v>29941.535195292465</v>
      </c>
      <c r="L84" s="654">
        <f t="shared" si="18"/>
        <v>32175.850286180375</v>
      </c>
      <c r="M84" s="656">
        <f t="shared" si="19"/>
        <v>4459054.4290076895</v>
      </c>
      <c r="N84" s="657">
        <f t="shared" si="25"/>
        <v>3052680.0384884621</v>
      </c>
      <c r="O84" s="589">
        <f t="shared" si="20"/>
        <v>106</v>
      </c>
      <c r="P84" s="654">
        <f t="shared" si="16"/>
        <v>44901.623509645258</v>
      </c>
      <c r="Q84" s="664">
        <f t="shared" si="17"/>
        <v>36652.42900996036</v>
      </c>
      <c r="R84" s="654">
        <f t="shared" si="21"/>
        <v>8249.1944996848979</v>
      </c>
      <c r="S84" s="656">
        <f t="shared" si="22"/>
        <v>5489615.1569943689</v>
      </c>
      <c r="T84" s="657">
        <f t="shared" si="26"/>
        <v>3158678.6736384691</v>
      </c>
      <c r="V84" s="665">
        <f t="shared" si="27"/>
        <v>17215.761971827582</v>
      </c>
      <c r="W84" s="590">
        <f t="shared" si="23"/>
        <v>2377017.4420698504</v>
      </c>
      <c r="X84" s="589" t="b">
        <f t="shared" si="24"/>
        <v>0</v>
      </c>
    </row>
    <row r="85" spans="9:24" ht="16.5" hidden="1" customHeight="1">
      <c r="I85" s="589">
        <v>83</v>
      </c>
      <c r="J85" s="654">
        <f t="shared" si="14"/>
        <v>62117.38548147284</v>
      </c>
      <c r="K85" s="655">
        <f t="shared" si="15"/>
        <v>29727.029526717932</v>
      </c>
      <c r="L85" s="654">
        <f t="shared" si="18"/>
        <v>32390.355954754908</v>
      </c>
      <c r="M85" s="656">
        <f t="shared" si="19"/>
        <v>4426664.0730529344</v>
      </c>
      <c r="N85" s="657">
        <f t="shared" si="25"/>
        <v>3082407.0680151801</v>
      </c>
      <c r="O85" s="589">
        <f t="shared" si="20"/>
        <v>107</v>
      </c>
      <c r="P85" s="654">
        <f t="shared" si="16"/>
        <v>44901.623509645258</v>
      </c>
      <c r="Q85" s="664">
        <f t="shared" si="17"/>
        <v>36597.434379962462</v>
      </c>
      <c r="R85" s="654">
        <f t="shared" si="21"/>
        <v>8304.1891296827962</v>
      </c>
      <c r="S85" s="656">
        <f t="shared" si="22"/>
        <v>5481310.9678646857</v>
      </c>
      <c r="T85" s="657">
        <f t="shared" si="26"/>
        <v>3195276.1080184313</v>
      </c>
      <c r="V85" s="665">
        <f t="shared" si="27"/>
        <v>17215.761971827582</v>
      </c>
      <c r="W85" s="590">
        <f t="shared" si="23"/>
        <v>2422281.4471137803</v>
      </c>
      <c r="X85" s="589" t="b">
        <f t="shared" si="24"/>
        <v>0</v>
      </c>
    </row>
    <row r="86" spans="9:24" ht="16.5" hidden="1" customHeight="1">
      <c r="I86" s="589">
        <v>84</v>
      </c>
      <c r="J86" s="654">
        <f t="shared" si="14"/>
        <v>62117.38548147284</v>
      </c>
      <c r="K86" s="655">
        <f t="shared" si="15"/>
        <v>29511.093820352897</v>
      </c>
      <c r="L86" s="654">
        <f t="shared" si="18"/>
        <v>32606.291661119943</v>
      </c>
      <c r="M86" s="656">
        <f t="shared" si="19"/>
        <v>4394057.7813918144</v>
      </c>
      <c r="N86" s="657">
        <f t="shared" si="25"/>
        <v>3111918.1618355331</v>
      </c>
      <c r="O86" s="589">
        <f t="shared" si="20"/>
        <v>108</v>
      </c>
      <c r="P86" s="654">
        <f t="shared" si="16"/>
        <v>44901.623509645258</v>
      </c>
      <c r="Q86" s="664">
        <f t="shared" si="17"/>
        <v>36542.073119097906</v>
      </c>
      <c r="R86" s="654">
        <f t="shared" si="21"/>
        <v>8359.5503905473524</v>
      </c>
      <c r="S86" s="656">
        <f t="shared" si="22"/>
        <v>5472951.4174741386</v>
      </c>
      <c r="T86" s="657">
        <f t="shared" si="26"/>
        <v>3231818.1811375292</v>
      </c>
      <c r="V86" s="665">
        <f t="shared" si="27"/>
        <v>17215.761971827582</v>
      </c>
      <c r="W86" s="590">
        <f t="shared" si="23"/>
        <v>2468075.7162162596</v>
      </c>
      <c r="X86" s="589" t="b">
        <f t="shared" si="24"/>
        <v>0</v>
      </c>
    </row>
    <row r="87" spans="9:24" ht="16.5" hidden="1" customHeight="1">
      <c r="I87" s="589">
        <v>85</v>
      </c>
      <c r="J87" s="654">
        <f t="shared" si="14"/>
        <v>62117.38548147284</v>
      </c>
      <c r="K87" s="655">
        <f t="shared" si="15"/>
        <v>29293.718542612096</v>
      </c>
      <c r="L87" s="654">
        <f t="shared" si="18"/>
        <v>32823.666938860741</v>
      </c>
      <c r="M87" s="656">
        <f t="shared" si="19"/>
        <v>4361234.1144529535</v>
      </c>
      <c r="N87" s="657">
        <f t="shared" si="25"/>
        <v>3141211.8803781453</v>
      </c>
      <c r="O87" s="589">
        <f t="shared" si="20"/>
        <v>109</v>
      </c>
      <c r="P87" s="654">
        <f t="shared" si="16"/>
        <v>44901.623509645258</v>
      </c>
      <c r="Q87" s="664">
        <f t="shared" si="17"/>
        <v>36486.342783160922</v>
      </c>
      <c r="R87" s="654">
        <f t="shared" si="21"/>
        <v>8415.2807264843359</v>
      </c>
      <c r="S87" s="656">
        <f t="shared" si="22"/>
        <v>5464536.1367476545</v>
      </c>
      <c r="T87" s="657">
        <f t="shared" si="26"/>
        <v>3268304.5239206902</v>
      </c>
      <c r="V87" s="665">
        <f t="shared" si="27"/>
        <v>17215.761971827582</v>
      </c>
      <c r="W87" s="590">
        <f t="shared" si="23"/>
        <v>2514406.4613766801</v>
      </c>
      <c r="X87" s="589" t="b">
        <f t="shared" si="24"/>
        <v>0</v>
      </c>
    </row>
    <row r="88" spans="9:24" ht="16.5" hidden="1" customHeight="1">
      <c r="I88" s="589">
        <v>86</v>
      </c>
      <c r="J88" s="654">
        <f t="shared" si="14"/>
        <v>62117.38548147284</v>
      </c>
      <c r="K88" s="655">
        <f t="shared" si="15"/>
        <v>29074.894096353026</v>
      </c>
      <c r="L88" s="654">
        <f t="shared" si="18"/>
        <v>33042.491385119814</v>
      </c>
      <c r="M88" s="656">
        <f t="shared" si="19"/>
        <v>4328191.6230678335</v>
      </c>
      <c r="N88" s="657">
        <f t="shared" si="25"/>
        <v>3170286.7744744984</v>
      </c>
      <c r="O88" s="589">
        <f t="shared" si="20"/>
        <v>110</v>
      </c>
      <c r="P88" s="654">
        <f t="shared" si="16"/>
        <v>44901.623509645258</v>
      </c>
      <c r="Q88" s="664">
        <f t="shared" si="17"/>
        <v>36430.240911651032</v>
      </c>
      <c r="R88" s="654">
        <f t="shared" si="21"/>
        <v>8471.3825979942267</v>
      </c>
      <c r="S88" s="656">
        <f t="shared" si="22"/>
        <v>5456064.7541496605</v>
      </c>
      <c r="T88" s="657">
        <f t="shared" si="26"/>
        <v>3304734.7648323411</v>
      </c>
      <c r="V88" s="665">
        <f t="shared" si="27"/>
        <v>17215.761971827582</v>
      </c>
      <c r="W88" s="590">
        <f t="shared" si="23"/>
        <v>2561279.9673674898</v>
      </c>
      <c r="X88" s="589" t="b">
        <f t="shared" si="24"/>
        <v>0</v>
      </c>
    </row>
    <row r="89" spans="9:24" ht="16.5" hidden="1" customHeight="1">
      <c r="I89" s="589">
        <v>87</v>
      </c>
      <c r="J89" s="654">
        <f t="shared" si="14"/>
        <v>62117.38548147284</v>
      </c>
      <c r="K89" s="655">
        <f t="shared" si="15"/>
        <v>28854.610820452224</v>
      </c>
      <c r="L89" s="654">
        <f t="shared" si="18"/>
        <v>33262.774661020616</v>
      </c>
      <c r="M89" s="656">
        <f t="shared" si="19"/>
        <v>4294928.8484068131</v>
      </c>
      <c r="N89" s="657">
        <f t="shared" si="25"/>
        <v>3199141.3852949506</v>
      </c>
      <c r="O89" s="589">
        <f t="shared" si="20"/>
        <v>111</v>
      </c>
      <c r="P89" s="654">
        <f t="shared" si="16"/>
        <v>44901.623509645258</v>
      </c>
      <c r="Q89" s="664">
        <f t="shared" si="17"/>
        <v>36373.765027664405</v>
      </c>
      <c r="R89" s="654">
        <f t="shared" si="21"/>
        <v>8527.858481980853</v>
      </c>
      <c r="S89" s="656">
        <f t="shared" si="22"/>
        <v>5447536.8956676796</v>
      </c>
      <c r="T89" s="657">
        <f t="shared" si="26"/>
        <v>3341108.5298600057</v>
      </c>
      <c r="V89" s="665">
        <f t="shared" si="27"/>
        <v>17215.761971827582</v>
      </c>
      <c r="W89" s="590">
        <f t="shared" si="23"/>
        <v>2608702.5925867241</v>
      </c>
      <c r="X89" s="589" t="b">
        <f t="shared" si="24"/>
        <v>0</v>
      </c>
    </row>
    <row r="90" spans="9:24" ht="16.5" hidden="1" customHeight="1">
      <c r="I90" s="589">
        <v>88</v>
      </c>
      <c r="J90" s="654">
        <f t="shared" si="14"/>
        <v>62117.38548147284</v>
      </c>
      <c r="K90" s="655">
        <f t="shared" si="15"/>
        <v>28632.858989378758</v>
      </c>
      <c r="L90" s="654">
        <f t="shared" si="18"/>
        <v>33484.526492094083</v>
      </c>
      <c r="M90" s="656">
        <f t="shared" si="19"/>
        <v>4261444.3219147194</v>
      </c>
      <c r="N90" s="657">
        <f t="shared" si="25"/>
        <v>3227774.2442843295</v>
      </c>
      <c r="O90" s="589">
        <f t="shared" si="20"/>
        <v>112</v>
      </c>
      <c r="P90" s="654">
        <f t="shared" si="16"/>
        <v>44901.623509645258</v>
      </c>
      <c r="Q90" s="664">
        <f t="shared" si="17"/>
        <v>36316.912637784531</v>
      </c>
      <c r="R90" s="654">
        <f t="shared" si="21"/>
        <v>8584.7108718607269</v>
      </c>
      <c r="S90" s="656">
        <f t="shared" si="22"/>
        <v>5438952.1847958192</v>
      </c>
      <c r="T90" s="657">
        <f t="shared" si="26"/>
        <v>3377425.4424977903</v>
      </c>
      <c r="V90" s="665">
        <f t="shared" si="27"/>
        <v>17215.761971827582</v>
      </c>
      <c r="W90" s="590">
        <f t="shared" si="23"/>
        <v>2656680.7699205233</v>
      </c>
      <c r="X90" s="589" t="b">
        <f t="shared" si="24"/>
        <v>0</v>
      </c>
    </row>
    <row r="91" spans="9:24" ht="16.5" hidden="1" customHeight="1">
      <c r="I91" s="589">
        <v>89</v>
      </c>
      <c r="J91" s="654">
        <f t="shared" si="14"/>
        <v>62117.38548147284</v>
      </c>
      <c r="K91" s="655">
        <f t="shared" si="15"/>
        <v>28409.628812764797</v>
      </c>
      <c r="L91" s="654">
        <f t="shared" si="18"/>
        <v>33707.75666870804</v>
      </c>
      <c r="M91" s="656">
        <f t="shared" si="19"/>
        <v>4227736.5652460111</v>
      </c>
      <c r="N91" s="657">
        <f t="shared" si="25"/>
        <v>3256183.8730970942</v>
      </c>
      <c r="O91" s="589">
        <f t="shared" si="20"/>
        <v>113</v>
      </c>
      <c r="P91" s="654">
        <f t="shared" si="16"/>
        <v>44901.623509645258</v>
      </c>
      <c r="Q91" s="664">
        <f t="shared" si="17"/>
        <v>36259.681231972128</v>
      </c>
      <c r="R91" s="654">
        <f t="shared" si="21"/>
        <v>8641.9422776731299</v>
      </c>
      <c r="S91" s="656">
        <f t="shared" si="22"/>
        <v>5430310.2425181465</v>
      </c>
      <c r="T91" s="657">
        <f t="shared" si="26"/>
        <v>3413685.1237297626</v>
      </c>
      <c r="V91" s="665">
        <f t="shared" si="27"/>
        <v>17215.761971827582</v>
      </c>
      <c r="W91" s="590">
        <f t="shared" si="23"/>
        <v>2705221.0076157539</v>
      </c>
      <c r="X91" s="589" t="b">
        <f t="shared" si="24"/>
        <v>0</v>
      </c>
    </row>
    <row r="92" spans="9:24" ht="16.5" hidden="1" customHeight="1">
      <c r="I92" s="589">
        <v>90</v>
      </c>
      <c r="J92" s="654">
        <f t="shared" si="14"/>
        <v>62117.38548147284</v>
      </c>
      <c r="K92" s="655">
        <f t="shared" si="15"/>
        <v>28184.910434973408</v>
      </c>
      <c r="L92" s="654">
        <f t="shared" si="18"/>
        <v>33932.475046499429</v>
      </c>
      <c r="M92" s="656">
        <f t="shared" si="19"/>
        <v>4193804.0901995115</v>
      </c>
      <c r="N92" s="657">
        <f t="shared" si="25"/>
        <v>3284368.7835320677</v>
      </c>
      <c r="O92" s="589">
        <f t="shared" si="20"/>
        <v>114</v>
      </c>
      <c r="P92" s="654">
        <f t="shared" si="16"/>
        <v>44901.623509645258</v>
      </c>
      <c r="Q92" s="664">
        <f t="shared" si="17"/>
        <v>36202.068283454311</v>
      </c>
      <c r="R92" s="654">
        <f t="shared" si="21"/>
        <v>8699.555226190947</v>
      </c>
      <c r="S92" s="656">
        <f t="shared" si="22"/>
        <v>5421610.6872919556</v>
      </c>
      <c r="T92" s="657">
        <f t="shared" si="26"/>
        <v>3449887.1920132171</v>
      </c>
      <c r="V92" s="665">
        <f t="shared" si="27"/>
        <v>17215.761971827582</v>
      </c>
      <c r="W92" s="590">
        <f t="shared" si="23"/>
        <v>2754329.890162854</v>
      </c>
      <c r="X92" s="589" t="b">
        <f t="shared" si="24"/>
        <v>0</v>
      </c>
    </row>
    <row r="93" spans="9:24" ht="16.5" hidden="1" customHeight="1">
      <c r="I93" s="589">
        <v>91</v>
      </c>
      <c r="J93" s="654">
        <f t="shared" si="14"/>
        <v>62117.38548147284</v>
      </c>
      <c r="K93" s="655">
        <f t="shared" si="15"/>
        <v>27958.693934663414</v>
      </c>
      <c r="L93" s="654">
        <f t="shared" si="18"/>
        <v>34158.691546809423</v>
      </c>
      <c r="M93" s="656">
        <f t="shared" si="19"/>
        <v>4159645.3986527021</v>
      </c>
      <c r="N93" s="657">
        <f t="shared" si="25"/>
        <v>3312327.4774667309</v>
      </c>
      <c r="O93" s="589">
        <f t="shared" si="20"/>
        <v>115</v>
      </c>
      <c r="P93" s="654">
        <f t="shared" si="16"/>
        <v>44901.623509645258</v>
      </c>
      <c r="Q93" s="664">
        <f t="shared" si="17"/>
        <v>36144.071248613036</v>
      </c>
      <c r="R93" s="654">
        <f t="shared" si="21"/>
        <v>8757.5522610322223</v>
      </c>
      <c r="S93" s="656">
        <f t="shared" si="22"/>
        <v>5412853.1350309234</v>
      </c>
      <c r="T93" s="657">
        <f t="shared" si="26"/>
        <v>3486031.26326183</v>
      </c>
      <c r="V93" s="665">
        <f t="shared" si="27"/>
        <v>17215.761971827582</v>
      </c>
      <c r="W93" s="590">
        <f t="shared" si="23"/>
        <v>2804014.0791890202</v>
      </c>
      <c r="X93" s="589" t="b">
        <f t="shared" si="24"/>
        <v>0</v>
      </c>
    </row>
    <row r="94" spans="9:24" ht="16.5" hidden="1" customHeight="1">
      <c r="I94" s="589">
        <v>92</v>
      </c>
      <c r="J94" s="654">
        <f t="shared" si="14"/>
        <v>62117.38548147284</v>
      </c>
      <c r="K94" s="655">
        <f t="shared" si="15"/>
        <v>27730.96932435135</v>
      </c>
      <c r="L94" s="654">
        <f t="shared" si="18"/>
        <v>34386.416157121494</v>
      </c>
      <c r="M94" s="656">
        <f t="shared" si="19"/>
        <v>4125258.9824955808</v>
      </c>
      <c r="N94" s="657">
        <f t="shared" si="25"/>
        <v>3340058.4467910822</v>
      </c>
      <c r="O94" s="589">
        <f t="shared" si="20"/>
        <v>116</v>
      </c>
      <c r="P94" s="654">
        <f t="shared" si="16"/>
        <v>44901.623509645258</v>
      </c>
      <c r="Q94" s="664">
        <f t="shared" si="17"/>
        <v>36085.687566872824</v>
      </c>
      <c r="R94" s="654">
        <f t="shared" si="21"/>
        <v>8815.9359427724339</v>
      </c>
      <c r="S94" s="656">
        <f t="shared" si="22"/>
        <v>5404037.1990881506</v>
      </c>
      <c r="T94" s="657">
        <f t="shared" si="26"/>
        <v>3522116.9508287027</v>
      </c>
      <c r="V94" s="665">
        <f t="shared" si="27"/>
        <v>17215.761971827582</v>
      </c>
      <c r="W94" s="590">
        <f t="shared" si="23"/>
        <v>2854280.3143618582</v>
      </c>
      <c r="X94" s="589" t="b">
        <f t="shared" si="24"/>
        <v>0</v>
      </c>
    </row>
    <row r="95" spans="9:24" ht="16.5" hidden="1" customHeight="1">
      <c r="I95" s="589">
        <v>93</v>
      </c>
      <c r="J95" s="654">
        <f t="shared" si="14"/>
        <v>62117.38548147284</v>
      </c>
      <c r="K95" s="655">
        <f t="shared" si="15"/>
        <v>27501.726549970539</v>
      </c>
      <c r="L95" s="654">
        <f t="shared" si="18"/>
        <v>34615.658931502301</v>
      </c>
      <c r="M95" s="656">
        <f t="shared" si="19"/>
        <v>4090643.3235640787</v>
      </c>
      <c r="N95" s="657">
        <f t="shared" si="25"/>
        <v>3367560.1733410526</v>
      </c>
      <c r="O95" s="589">
        <f t="shared" si="20"/>
        <v>117</v>
      </c>
      <c r="P95" s="654">
        <f t="shared" si="16"/>
        <v>44901.623509645258</v>
      </c>
      <c r="Q95" s="664">
        <f t="shared" si="17"/>
        <v>36026.914660587674</v>
      </c>
      <c r="R95" s="654">
        <f t="shared" si="21"/>
        <v>8874.7088490575843</v>
      </c>
      <c r="S95" s="656">
        <f t="shared" si="22"/>
        <v>5395162.4902390931</v>
      </c>
      <c r="T95" s="657">
        <f t="shared" si="26"/>
        <v>3558143.8654892901</v>
      </c>
      <c r="V95" s="665">
        <f t="shared" si="27"/>
        <v>17215.761971827582</v>
      </c>
      <c r="W95" s="590">
        <f t="shared" si="23"/>
        <v>2905135.4143036199</v>
      </c>
      <c r="X95" s="589" t="b">
        <f t="shared" si="24"/>
        <v>0</v>
      </c>
    </row>
    <row r="96" spans="9:24" ht="16.5" hidden="1" customHeight="1">
      <c r="I96" s="589">
        <v>94</v>
      </c>
      <c r="J96" s="654">
        <f t="shared" si="14"/>
        <v>62117.38548147284</v>
      </c>
      <c r="K96" s="655">
        <f t="shared" si="15"/>
        <v>27270.955490427194</v>
      </c>
      <c r="L96" s="654">
        <f t="shared" si="18"/>
        <v>34846.429991045647</v>
      </c>
      <c r="M96" s="656">
        <f t="shared" si="19"/>
        <v>4055796.8935730332</v>
      </c>
      <c r="N96" s="657">
        <f t="shared" si="25"/>
        <v>3394831.1288314797</v>
      </c>
      <c r="O96" s="589">
        <f t="shared" si="20"/>
        <v>118</v>
      </c>
      <c r="P96" s="654">
        <f t="shared" si="16"/>
        <v>44901.623509645258</v>
      </c>
      <c r="Q96" s="664">
        <f t="shared" si="17"/>
        <v>35967.749934927291</v>
      </c>
      <c r="R96" s="654">
        <f t="shared" si="21"/>
        <v>8933.8735747179671</v>
      </c>
      <c r="S96" s="656">
        <f t="shared" si="22"/>
        <v>5386228.6166643752</v>
      </c>
      <c r="T96" s="657">
        <f t="shared" si="26"/>
        <v>3594111.6154242172</v>
      </c>
      <c r="V96" s="665">
        <f t="shared" si="27"/>
        <v>17215.761971827582</v>
      </c>
      <c r="W96" s="590">
        <f t="shared" si="23"/>
        <v>2956586.2775161499</v>
      </c>
      <c r="X96" s="589" t="b">
        <f t="shared" si="24"/>
        <v>0</v>
      </c>
    </row>
    <row r="97" spans="9:24" ht="16.5" hidden="1" customHeight="1">
      <c r="I97" s="589">
        <v>95</v>
      </c>
      <c r="J97" s="654">
        <f t="shared" si="14"/>
        <v>62117.38548147284</v>
      </c>
      <c r="K97" s="655">
        <f t="shared" si="15"/>
        <v>27038.645957153556</v>
      </c>
      <c r="L97" s="654">
        <f t="shared" si="18"/>
        <v>35078.739524319288</v>
      </c>
      <c r="M97" s="656">
        <f t="shared" si="19"/>
        <v>4020718.1540487139</v>
      </c>
      <c r="N97" s="657">
        <f t="shared" si="25"/>
        <v>3421869.7747886335</v>
      </c>
      <c r="O97" s="589">
        <f t="shared" si="20"/>
        <v>119</v>
      </c>
      <c r="P97" s="654">
        <f t="shared" si="16"/>
        <v>44901.623509645258</v>
      </c>
      <c r="Q97" s="664">
        <f t="shared" si="17"/>
        <v>35908.190777762502</v>
      </c>
      <c r="R97" s="654">
        <f t="shared" si="21"/>
        <v>8993.4327318827563</v>
      </c>
      <c r="S97" s="656">
        <f t="shared" si="22"/>
        <v>5377235.1839324925</v>
      </c>
      <c r="T97" s="657">
        <f t="shared" si="26"/>
        <v>3630019.8062019795</v>
      </c>
      <c r="V97" s="665">
        <f t="shared" si="27"/>
        <v>17215.761971827582</v>
      </c>
      <c r="W97" s="590">
        <f t="shared" si="23"/>
        <v>3008639.8833166696</v>
      </c>
      <c r="X97" s="589" t="b">
        <f t="shared" si="24"/>
        <v>0</v>
      </c>
    </row>
    <row r="98" spans="9:24" ht="16.5" hidden="1" customHeight="1">
      <c r="I98" s="589">
        <v>96</v>
      </c>
      <c r="J98" s="654">
        <f t="shared" si="14"/>
        <v>62117.38548147284</v>
      </c>
      <c r="K98" s="655">
        <f t="shared" si="15"/>
        <v>26804.787693658094</v>
      </c>
      <c r="L98" s="654">
        <f t="shared" si="18"/>
        <v>35312.597787814746</v>
      </c>
      <c r="M98" s="656">
        <f t="shared" si="19"/>
        <v>3985405.5562608992</v>
      </c>
      <c r="N98" s="657">
        <f t="shared" si="25"/>
        <v>3448674.5624822914</v>
      </c>
      <c r="O98" s="589">
        <f t="shared" si="20"/>
        <v>120</v>
      </c>
      <c r="P98" s="654">
        <f t="shared" si="16"/>
        <v>44901.623509645258</v>
      </c>
      <c r="Q98" s="664">
        <f t="shared" si="17"/>
        <v>35848.23455954995</v>
      </c>
      <c r="R98" s="654">
        <f t="shared" si="21"/>
        <v>9053.3889500953082</v>
      </c>
      <c r="S98" s="656">
        <f t="shared" si="22"/>
        <v>5368181.794982397</v>
      </c>
      <c r="T98" s="657">
        <f t="shared" si="26"/>
        <v>3665868.0407615295</v>
      </c>
      <c r="V98" s="665">
        <f t="shared" si="27"/>
        <v>17215.761971827582</v>
      </c>
      <c r="W98" s="590">
        <f t="shared" si="23"/>
        <v>3061303.2927845214</v>
      </c>
      <c r="X98" s="589" t="b">
        <f t="shared" si="24"/>
        <v>0</v>
      </c>
    </row>
    <row r="99" spans="9:24" ht="16.5" hidden="1" customHeight="1">
      <c r="I99" s="589">
        <v>97</v>
      </c>
      <c r="J99" s="654">
        <f t="shared" si="14"/>
        <v>62117.38548147284</v>
      </c>
      <c r="K99" s="655">
        <f t="shared" si="15"/>
        <v>26569.370375072664</v>
      </c>
      <c r="L99" s="654">
        <f t="shared" si="18"/>
        <v>35548.015106400177</v>
      </c>
      <c r="M99" s="656">
        <f t="shared" si="19"/>
        <v>3949857.5411544992</v>
      </c>
      <c r="N99" s="657">
        <f t="shared" si="25"/>
        <v>3475243.932857364</v>
      </c>
      <c r="O99" s="589">
        <f t="shared" si="20"/>
        <v>121</v>
      </c>
      <c r="P99" s="654">
        <f t="shared" si="16"/>
        <v>44901.623509645258</v>
      </c>
      <c r="Q99" s="664">
        <f t="shared" si="17"/>
        <v>35787.87863321598</v>
      </c>
      <c r="R99" s="654">
        <f t="shared" si="21"/>
        <v>9113.7448764292785</v>
      </c>
      <c r="S99" s="656">
        <f t="shared" si="22"/>
        <v>5359068.0501059676</v>
      </c>
      <c r="T99" s="657">
        <f t="shared" si="26"/>
        <v>3701655.9193947455</v>
      </c>
      <c r="V99" s="665">
        <f t="shared" si="27"/>
        <v>17215.761971827582</v>
      </c>
      <c r="W99" s="590">
        <f t="shared" si="23"/>
        <v>3114583.649719005</v>
      </c>
      <c r="X99" s="589" t="b">
        <f t="shared" si="24"/>
        <v>0</v>
      </c>
    </row>
    <row r="100" spans="9:24" ht="16.5" hidden="1" customHeight="1">
      <c r="I100" s="589">
        <v>98</v>
      </c>
      <c r="J100" s="654">
        <f t="shared" si="14"/>
        <v>62117.38548147284</v>
      </c>
      <c r="K100" s="655">
        <f t="shared" si="15"/>
        <v>26332.383607696662</v>
      </c>
      <c r="L100" s="654">
        <f t="shared" si="18"/>
        <v>35785.001873776178</v>
      </c>
      <c r="M100" s="656">
        <f t="shared" si="19"/>
        <v>3914072.5392807228</v>
      </c>
      <c r="N100" s="657">
        <f t="shared" si="25"/>
        <v>3501576.3164650607</v>
      </c>
      <c r="O100" s="589">
        <f t="shared" si="20"/>
        <v>122</v>
      </c>
      <c r="P100" s="654">
        <f t="shared" si="16"/>
        <v>44901.623509645258</v>
      </c>
      <c r="Q100" s="664">
        <f t="shared" si="17"/>
        <v>35727.120334039784</v>
      </c>
      <c r="R100" s="654">
        <f t="shared" si="21"/>
        <v>9174.5031756054741</v>
      </c>
      <c r="S100" s="656">
        <f t="shared" si="22"/>
        <v>5349893.5469303625</v>
      </c>
      <c r="T100" s="657">
        <f t="shared" si="26"/>
        <v>3737383.0397287854</v>
      </c>
      <c r="V100" s="665">
        <f t="shared" si="27"/>
        <v>17215.761971827582</v>
      </c>
      <c r="W100" s="590">
        <f t="shared" si="23"/>
        <v>3168488.1816084362</v>
      </c>
      <c r="X100" s="589" t="b">
        <f t="shared" si="24"/>
        <v>0</v>
      </c>
    </row>
    <row r="101" spans="9:24" ht="16.5" hidden="1" customHeight="1">
      <c r="I101" s="589">
        <v>99</v>
      </c>
      <c r="J101" s="654">
        <f t="shared" si="14"/>
        <v>62117.38548147284</v>
      </c>
      <c r="K101" s="655">
        <f t="shared" si="15"/>
        <v>26093.816928538155</v>
      </c>
      <c r="L101" s="654">
        <f t="shared" si="18"/>
        <v>36023.568552934681</v>
      </c>
      <c r="M101" s="656">
        <f t="shared" si="19"/>
        <v>3878048.9707277883</v>
      </c>
      <c r="N101" s="657">
        <f t="shared" si="25"/>
        <v>3527670.1333935987</v>
      </c>
      <c r="O101" s="589">
        <f t="shared" si="20"/>
        <v>123</v>
      </c>
      <c r="P101" s="654">
        <f t="shared" si="16"/>
        <v>44901.623509645258</v>
      </c>
      <c r="Q101" s="664">
        <f t="shared" si="17"/>
        <v>35665.956979535753</v>
      </c>
      <c r="R101" s="654">
        <f t="shared" si="21"/>
        <v>9235.6665301095054</v>
      </c>
      <c r="S101" s="656">
        <f t="shared" si="22"/>
        <v>5340657.8804002525</v>
      </c>
      <c r="T101" s="657">
        <f t="shared" si="26"/>
        <v>3773048.9967083214</v>
      </c>
      <c r="V101" s="665">
        <f t="shared" si="27"/>
        <v>17215.761971827582</v>
      </c>
      <c r="W101" s="590">
        <f t="shared" si="23"/>
        <v>3223024.2006105557</v>
      </c>
      <c r="X101" s="589" t="b">
        <f t="shared" si="24"/>
        <v>0</v>
      </c>
    </row>
    <row r="102" spans="9:24" ht="16.5" hidden="1" customHeight="1">
      <c r="I102" s="589">
        <v>100</v>
      </c>
      <c r="J102" s="654">
        <f t="shared" si="14"/>
        <v>62117.38548147284</v>
      </c>
      <c r="K102" s="655">
        <f t="shared" si="15"/>
        <v>25853.659804851923</v>
      </c>
      <c r="L102" s="654">
        <f t="shared" si="18"/>
        <v>36263.725676620918</v>
      </c>
      <c r="M102" s="656">
        <f t="shared" si="19"/>
        <v>3841785.2450511674</v>
      </c>
      <c r="N102" s="657">
        <f t="shared" si="25"/>
        <v>3553523.7931984505</v>
      </c>
      <c r="O102" s="589">
        <f t="shared" si="20"/>
        <v>124</v>
      </c>
      <c r="P102" s="654">
        <f t="shared" si="16"/>
        <v>44901.623509645258</v>
      </c>
      <c r="Q102" s="664">
        <f t="shared" si="17"/>
        <v>35604.385869335019</v>
      </c>
      <c r="R102" s="654">
        <f t="shared" si="21"/>
        <v>9297.2376403102389</v>
      </c>
      <c r="S102" s="656">
        <f t="shared" si="22"/>
        <v>5331360.6427599424</v>
      </c>
      <c r="T102" s="657">
        <f t="shared" si="26"/>
        <v>3808653.3825776563</v>
      </c>
      <c r="V102" s="665">
        <f t="shared" si="27"/>
        <v>17215.761971827582</v>
      </c>
      <c r="W102" s="590">
        <f t="shared" si="23"/>
        <v>3278199.1045444245</v>
      </c>
      <c r="X102" s="589" t="b">
        <f t="shared" si="24"/>
        <v>0</v>
      </c>
    </row>
    <row r="103" spans="9:24" ht="16.5" hidden="1" customHeight="1">
      <c r="I103" s="589">
        <v>101</v>
      </c>
      <c r="J103" s="654">
        <f t="shared" si="14"/>
        <v>62117.38548147284</v>
      </c>
      <c r="K103" s="655">
        <f t="shared" si="15"/>
        <v>25611.90163367445</v>
      </c>
      <c r="L103" s="654">
        <f t="shared" si="18"/>
        <v>36505.483847798387</v>
      </c>
      <c r="M103" s="656">
        <f t="shared" si="19"/>
        <v>3805279.7612033691</v>
      </c>
      <c r="N103" s="657">
        <f t="shared" si="25"/>
        <v>3579135.6948321247</v>
      </c>
      <c r="O103" s="589">
        <f t="shared" si="20"/>
        <v>125</v>
      </c>
      <c r="P103" s="654">
        <f t="shared" si="16"/>
        <v>44901.623509645258</v>
      </c>
      <c r="Q103" s="664">
        <f t="shared" si="17"/>
        <v>35542.404285066288</v>
      </c>
      <c r="R103" s="654">
        <f t="shared" si="21"/>
        <v>9359.2192245789702</v>
      </c>
      <c r="S103" s="656">
        <f t="shared" si="22"/>
        <v>5322001.4235353637</v>
      </c>
      <c r="T103" s="657">
        <f t="shared" si="26"/>
        <v>3844195.7868627226</v>
      </c>
      <c r="V103" s="665">
        <f t="shared" si="27"/>
        <v>17215.761971827582</v>
      </c>
      <c r="W103" s="590">
        <f t="shared" si="23"/>
        <v>3334020.3778939396</v>
      </c>
      <c r="X103" s="589" t="b">
        <f t="shared" si="24"/>
        <v>0</v>
      </c>
    </row>
    <row r="104" spans="9:24" ht="16.5" hidden="1" customHeight="1">
      <c r="I104" s="589">
        <v>102</v>
      </c>
      <c r="J104" s="654">
        <f t="shared" si="14"/>
        <v>62117.38548147284</v>
      </c>
      <c r="K104" s="655">
        <f t="shared" si="15"/>
        <v>25368.531741355797</v>
      </c>
      <c r="L104" s="654">
        <f t="shared" si="18"/>
        <v>36748.853740117047</v>
      </c>
      <c r="M104" s="656">
        <f t="shared" si="19"/>
        <v>3768530.9074632521</v>
      </c>
      <c r="N104" s="657">
        <f t="shared" si="25"/>
        <v>3604504.2265734808</v>
      </c>
      <c r="O104" s="589">
        <f t="shared" si="20"/>
        <v>126</v>
      </c>
      <c r="P104" s="654">
        <f t="shared" si="16"/>
        <v>44901.623509645258</v>
      </c>
      <c r="Q104" s="664">
        <f t="shared" si="17"/>
        <v>35480.00949023576</v>
      </c>
      <c r="R104" s="654">
        <f t="shared" si="21"/>
        <v>9421.6140194094987</v>
      </c>
      <c r="S104" s="656">
        <f t="shared" si="22"/>
        <v>5312579.809515954</v>
      </c>
      <c r="T104" s="657">
        <f t="shared" si="26"/>
        <v>3879675.7963529583</v>
      </c>
      <c r="V104" s="665">
        <f t="shared" si="27"/>
        <v>17215.761971827582</v>
      </c>
      <c r="W104" s="590">
        <f t="shared" si="23"/>
        <v>3390495.5928231045</v>
      </c>
      <c r="X104" s="589" t="b">
        <f t="shared" si="24"/>
        <v>0</v>
      </c>
    </row>
    <row r="105" spans="9:24" ht="16.5" hidden="1" customHeight="1">
      <c r="I105" s="589">
        <v>103</v>
      </c>
      <c r="J105" s="654">
        <f t="shared" si="14"/>
        <v>62117.38548147284</v>
      </c>
      <c r="K105" s="655">
        <f t="shared" si="15"/>
        <v>25123.539383088348</v>
      </c>
      <c r="L105" s="654">
        <f t="shared" si="18"/>
        <v>36993.846098384493</v>
      </c>
      <c r="M105" s="656">
        <f t="shared" si="19"/>
        <v>3731537.0613648677</v>
      </c>
      <c r="N105" s="657">
        <f t="shared" si="25"/>
        <v>3629627.765956569</v>
      </c>
      <c r="O105" s="589">
        <f t="shared" si="20"/>
        <v>127</v>
      </c>
      <c r="P105" s="654">
        <f t="shared" si="16"/>
        <v>44901.623509645258</v>
      </c>
      <c r="Q105" s="664">
        <f t="shared" si="17"/>
        <v>35417.198730106364</v>
      </c>
      <c r="R105" s="654">
        <f t="shared" si="21"/>
        <v>9484.4247795388947</v>
      </c>
      <c r="S105" s="656">
        <f t="shared" si="22"/>
        <v>5303095.384736415</v>
      </c>
      <c r="T105" s="657">
        <f t="shared" si="26"/>
        <v>3915092.9950830648</v>
      </c>
      <c r="V105" s="665">
        <f t="shared" si="27"/>
        <v>17215.761971827582</v>
      </c>
      <c r="W105" s="590">
        <f t="shared" si="23"/>
        <v>3447632.4102031956</v>
      </c>
      <c r="X105" s="589" t="b">
        <f t="shared" si="24"/>
        <v>0</v>
      </c>
    </row>
    <row r="106" spans="9:24" ht="16.5" hidden="1" customHeight="1">
      <c r="I106" s="589">
        <v>104</v>
      </c>
      <c r="J106" s="654">
        <f t="shared" si="14"/>
        <v>62117.38548147284</v>
      </c>
      <c r="K106" s="655">
        <f t="shared" si="15"/>
        <v>24876.913742432454</v>
      </c>
      <c r="L106" s="654">
        <f t="shared" si="18"/>
        <v>37240.471739040382</v>
      </c>
      <c r="M106" s="656">
        <f t="shared" si="19"/>
        <v>3694296.5896258275</v>
      </c>
      <c r="N106" s="657">
        <f t="shared" si="25"/>
        <v>3654504.6796990014</v>
      </c>
      <c r="O106" s="589">
        <f t="shared" si="20"/>
        <v>128</v>
      </c>
      <c r="P106" s="654">
        <f t="shared" si="16"/>
        <v>44901.623509645258</v>
      </c>
      <c r="Q106" s="664">
        <f t="shared" si="17"/>
        <v>35353.969231576106</v>
      </c>
      <c r="R106" s="654">
        <f t="shared" si="21"/>
        <v>9547.6542780691525</v>
      </c>
      <c r="S106" s="656">
        <f t="shared" si="22"/>
        <v>5293547.7304583462</v>
      </c>
      <c r="T106" s="657">
        <f t="shared" si="26"/>
        <v>3950446.964314641</v>
      </c>
      <c r="V106" s="665">
        <f t="shared" si="27"/>
        <v>17215.761971827582</v>
      </c>
      <c r="W106" s="590">
        <f t="shared" si="23"/>
        <v>3505438.5806519594</v>
      </c>
      <c r="X106" s="589" t="b">
        <f t="shared" si="24"/>
        <v>0</v>
      </c>
    </row>
    <row r="107" spans="9:24" ht="16.5" hidden="1" customHeight="1">
      <c r="I107" s="589">
        <v>105</v>
      </c>
      <c r="J107" s="654">
        <f t="shared" si="14"/>
        <v>62117.38548147284</v>
      </c>
      <c r="K107" s="655">
        <f t="shared" si="15"/>
        <v>24628.643930838851</v>
      </c>
      <c r="L107" s="654">
        <f t="shared" si="18"/>
        <v>37488.741550633989</v>
      </c>
      <c r="M107" s="656">
        <f t="shared" si="19"/>
        <v>3656807.8480751934</v>
      </c>
      <c r="N107" s="657">
        <f t="shared" si="25"/>
        <v>3679133.3236298403</v>
      </c>
      <c r="O107" s="589">
        <f t="shared" si="20"/>
        <v>129</v>
      </c>
      <c r="P107" s="654">
        <f t="shared" si="16"/>
        <v>44901.623509645258</v>
      </c>
      <c r="Q107" s="664">
        <f t="shared" si="17"/>
        <v>35290.318203055642</v>
      </c>
      <c r="R107" s="654">
        <f t="shared" si="21"/>
        <v>9611.3053065896165</v>
      </c>
      <c r="S107" s="656">
        <f t="shared" si="22"/>
        <v>5283936.425151757</v>
      </c>
      <c r="T107" s="657">
        <f t="shared" si="26"/>
        <v>3985737.2825176967</v>
      </c>
      <c r="V107" s="665">
        <f t="shared" si="27"/>
        <v>17215.761971827582</v>
      </c>
      <c r="W107" s="590">
        <f t="shared" si="23"/>
        <v>3563921.9455849854</v>
      </c>
      <c r="X107" s="589" t="b">
        <f t="shared" si="24"/>
        <v>0</v>
      </c>
    </row>
    <row r="108" spans="9:24" ht="16.5" hidden="1" customHeight="1">
      <c r="I108" s="589">
        <v>106</v>
      </c>
      <c r="J108" s="654">
        <f t="shared" si="14"/>
        <v>62117.38548147284</v>
      </c>
      <c r="K108" s="655">
        <f t="shared" si="15"/>
        <v>24378.718987167958</v>
      </c>
      <c r="L108" s="654">
        <f t="shared" si="18"/>
        <v>37738.666494304882</v>
      </c>
      <c r="M108" s="656">
        <f t="shared" si="19"/>
        <v>3619069.1815808886</v>
      </c>
      <c r="N108" s="657">
        <f t="shared" si="25"/>
        <v>3703512.0426170081</v>
      </c>
      <c r="O108" s="589">
        <f t="shared" si="20"/>
        <v>130</v>
      </c>
      <c r="P108" s="654">
        <f t="shared" si="16"/>
        <v>44901.623509645258</v>
      </c>
      <c r="Q108" s="664">
        <f t="shared" si="17"/>
        <v>35226.242834345052</v>
      </c>
      <c r="R108" s="654">
        <f t="shared" si="21"/>
        <v>9675.3806753002063</v>
      </c>
      <c r="S108" s="656">
        <f t="shared" si="22"/>
        <v>5274261.0444764569</v>
      </c>
      <c r="T108" s="657">
        <f t="shared" si="26"/>
        <v>4020963.5253520417</v>
      </c>
      <c r="V108" s="665">
        <f t="shared" si="27"/>
        <v>17215.761971827582</v>
      </c>
      <c r="W108" s="590">
        <f t="shared" si="23"/>
        <v>3623090.438279395</v>
      </c>
      <c r="X108" s="589" t="b">
        <f t="shared" si="24"/>
        <v>0</v>
      </c>
    </row>
    <row r="109" spans="9:24" ht="16.5" hidden="1" customHeight="1">
      <c r="I109" s="589">
        <v>107</v>
      </c>
      <c r="J109" s="654">
        <f t="shared" si="14"/>
        <v>62117.38548147284</v>
      </c>
      <c r="K109" s="655">
        <f t="shared" si="15"/>
        <v>24127.127877205927</v>
      </c>
      <c r="L109" s="654">
        <f t="shared" si="18"/>
        <v>37990.25760426691</v>
      </c>
      <c r="M109" s="656">
        <f t="shared" si="19"/>
        <v>3581078.9239766216</v>
      </c>
      <c r="N109" s="657">
        <f t="shared" si="25"/>
        <v>3727639.1704942142</v>
      </c>
      <c r="O109" s="589">
        <f t="shared" si="20"/>
        <v>131</v>
      </c>
      <c r="P109" s="654">
        <f t="shared" si="16"/>
        <v>44901.623509645258</v>
      </c>
      <c r="Q109" s="664">
        <f t="shared" si="17"/>
        <v>35161.740296509714</v>
      </c>
      <c r="R109" s="654">
        <f t="shared" si="21"/>
        <v>9739.8832131355448</v>
      </c>
      <c r="S109" s="656">
        <f t="shared" si="22"/>
        <v>5264521.1612633215</v>
      </c>
      <c r="T109" s="657">
        <f t="shared" si="26"/>
        <v>4056125.2656485513</v>
      </c>
      <c r="V109" s="665">
        <f t="shared" si="27"/>
        <v>17215.761971827582</v>
      </c>
      <c r="W109" s="590">
        <f t="shared" si="23"/>
        <v>3682952.0849499926</v>
      </c>
      <c r="X109" s="589" t="b">
        <f t="shared" si="24"/>
        <v>0</v>
      </c>
    </row>
    <row r="110" spans="9:24" ht="16.5" hidden="1" customHeight="1">
      <c r="I110" s="589">
        <v>108</v>
      </c>
      <c r="J110" s="654">
        <f t="shared" si="14"/>
        <v>62117.38548147284</v>
      </c>
      <c r="K110" s="655">
        <f t="shared" si="15"/>
        <v>23873.859493177479</v>
      </c>
      <c r="L110" s="654">
        <f t="shared" si="18"/>
        <v>38243.525988295361</v>
      </c>
      <c r="M110" s="656">
        <f t="shared" si="19"/>
        <v>3542835.3979883264</v>
      </c>
      <c r="N110" s="657">
        <f t="shared" si="25"/>
        <v>3751513.0299873916</v>
      </c>
      <c r="O110" s="589">
        <f t="shared" si="20"/>
        <v>132</v>
      </c>
      <c r="P110" s="654">
        <f t="shared" si="16"/>
        <v>44901.623509645258</v>
      </c>
      <c r="Q110" s="664">
        <f t="shared" si="17"/>
        <v>35096.807741755481</v>
      </c>
      <c r="R110" s="654">
        <f t="shared" si="21"/>
        <v>9804.8157678897769</v>
      </c>
      <c r="S110" s="656">
        <f t="shared" si="22"/>
        <v>5254716.3454954317</v>
      </c>
      <c r="T110" s="657">
        <f t="shared" si="26"/>
        <v>4091222.0733903069</v>
      </c>
      <c r="V110" s="665">
        <f t="shared" si="27"/>
        <v>17215.761971827582</v>
      </c>
      <c r="W110" s="590">
        <f t="shared" si="23"/>
        <v>3743515.0058380221</v>
      </c>
      <c r="X110" s="589" t="b">
        <f t="shared" si="24"/>
        <v>0</v>
      </c>
    </row>
    <row r="111" spans="9:24" ht="16.5" hidden="1" customHeight="1">
      <c r="I111" s="589">
        <v>109</v>
      </c>
      <c r="J111" s="654">
        <f t="shared" si="14"/>
        <v>62117.38548147284</v>
      </c>
      <c r="K111" s="655">
        <f t="shared" si="15"/>
        <v>23618.902653255511</v>
      </c>
      <c r="L111" s="654">
        <f t="shared" si="18"/>
        <v>38498.482828217326</v>
      </c>
      <c r="M111" s="656">
        <f t="shared" si="19"/>
        <v>3504336.9151601093</v>
      </c>
      <c r="N111" s="657">
        <f t="shared" si="25"/>
        <v>3775131.932640647</v>
      </c>
      <c r="O111" s="589">
        <f t="shared" si="20"/>
        <v>133</v>
      </c>
      <c r="P111" s="654">
        <f t="shared" si="16"/>
        <v>44901.623509645258</v>
      </c>
      <c r="Q111" s="664">
        <f t="shared" si="17"/>
        <v>35031.44230330288</v>
      </c>
      <c r="R111" s="654">
        <f t="shared" si="21"/>
        <v>9870.1812063423786</v>
      </c>
      <c r="S111" s="656">
        <f t="shared" si="22"/>
        <v>5244846.1642890889</v>
      </c>
      <c r="T111" s="657">
        <f t="shared" si="26"/>
        <v>4126253.5156936096</v>
      </c>
      <c r="V111" s="665">
        <f t="shared" si="27"/>
        <v>17215.761971827582</v>
      </c>
      <c r="W111" s="590">
        <f t="shared" si="23"/>
        <v>3804787.4163126783</v>
      </c>
      <c r="X111" s="589" t="b">
        <f t="shared" si="24"/>
        <v>0</v>
      </c>
    </row>
    <row r="112" spans="9:24" ht="16.5" hidden="1" customHeight="1">
      <c r="I112" s="589">
        <v>110</v>
      </c>
      <c r="J112" s="654">
        <f t="shared" si="14"/>
        <v>62117.38548147284</v>
      </c>
      <c r="K112" s="655">
        <f t="shared" si="15"/>
        <v>23362.246101067398</v>
      </c>
      <c r="L112" s="654">
        <f t="shared" si="18"/>
        <v>38755.139380405439</v>
      </c>
      <c r="M112" s="656">
        <f t="shared" si="19"/>
        <v>3465581.7757797036</v>
      </c>
      <c r="N112" s="657">
        <f t="shared" si="25"/>
        <v>3798494.1787417145</v>
      </c>
      <c r="O112" s="589">
        <f t="shared" si="20"/>
        <v>134</v>
      </c>
      <c r="P112" s="654">
        <f t="shared" si="16"/>
        <v>44901.623509645258</v>
      </c>
      <c r="Q112" s="664">
        <f t="shared" si="17"/>
        <v>34965.641095260595</v>
      </c>
      <c r="R112" s="654">
        <f t="shared" si="21"/>
        <v>9935.9824143846636</v>
      </c>
      <c r="S112" s="656">
        <f t="shared" si="22"/>
        <v>5234910.1818747045</v>
      </c>
      <c r="T112" s="657">
        <f t="shared" si="26"/>
        <v>4161219.1567888702</v>
      </c>
      <c r="V112" s="665">
        <f t="shared" si="27"/>
        <v>17215.761971827582</v>
      </c>
      <c r="W112" s="590">
        <f t="shared" si="23"/>
        <v>3866777.6279855245</v>
      </c>
      <c r="X112" s="589" t="b">
        <f t="shared" si="24"/>
        <v>0</v>
      </c>
    </row>
    <row r="113" spans="9:24" ht="16.5" hidden="1" customHeight="1">
      <c r="I113" s="589">
        <v>111</v>
      </c>
      <c r="J113" s="654">
        <f t="shared" si="14"/>
        <v>62117.38548147284</v>
      </c>
      <c r="K113" s="655">
        <f t="shared" si="15"/>
        <v>23103.878505198027</v>
      </c>
      <c r="L113" s="654">
        <f t="shared" si="18"/>
        <v>39013.506976274817</v>
      </c>
      <c r="M113" s="656">
        <f t="shared" si="19"/>
        <v>3426568.2688034289</v>
      </c>
      <c r="N113" s="657">
        <f t="shared" si="25"/>
        <v>3821598.0572469123</v>
      </c>
      <c r="O113" s="589">
        <f t="shared" si="20"/>
        <v>135</v>
      </c>
      <c r="P113" s="654">
        <f t="shared" si="16"/>
        <v>44901.623509645258</v>
      </c>
      <c r="Q113" s="664">
        <f t="shared" si="17"/>
        <v>34899.401212498029</v>
      </c>
      <c r="R113" s="654">
        <f t="shared" si="21"/>
        <v>10002.222297147229</v>
      </c>
      <c r="S113" s="656">
        <f t="shared" si="22"/>
        <v>5224907.9595775576</v>
      </c>
      <c r="T113" s="657">
        <f t="shared" si="26"/>
        <v>4196118.5580013683</v>
      </c>
      <c r="V113" s="665">
        <f t="shared" si="27"/>
        <v>17215.761971827582</v>
      </c>
      <c r="W113" s="590">
        <f t="shared" si="23"/>
        <v>3929494.0498379618</v>
      </c>
      <c r="X113" s="589" t="b">
        <f t="shared" si="24"/>
        <v>0</v>
      </c>
    </row>
    <row r="114" spans="9:24" ht="16.5" hidden="1" customHeight="1">
      <c r="I114" s="589">
        <v>112</v>
      </c>
      <c r="J114" s="654">
        <f t="shared" si="14"/>
        <v>62117.38548147284</v>
      </c>
      <c r="K114" s="655">
        <f t="shared" si="15"/>
        <v>22843.788458689527</v>
      </c>
      <c r="L114" s="654">
        <f t="shared" si="18"/>
        <v>39273.597022783317</v>
      </c>
      <c r="M114" s="656">
        <f t="shared" si="19"/>
        <v>3387294.6717806454</v>
      </c>
      <c r="N114" s="657">
        <f t="shared" si="25"/>
        <v>3844441.8457056019</v>
      </c>
      <c r="O114" s="589">
        <f t="shared" si="20"/>
        <v>136</v>
      </c>
      <c r="P114" s="654">
        <f t="shared" si="16"/>
        <v>44901.623509645258</v>
      </c>
      <c r="Q114" s="664">
        <f t="shared" si="17"/>
        <v>34832.719730517056</v>
      </c>
      <c r="R114" s="654">
        <f t="shared" si="21"/>
        <v>10068.903779128203</v>
      </c>
      <c r="S114" s="656">
        <f t="shared" si="22"/>
        <v>5214839.0557984291</v>
      </c>
      <c r="T114" s="657">
        <f t="shared" si="26"/>
        <v>4230951.2777318852</v>
      </c>
      <c r="V114" s="665">
        <f t="shared" si="27"/>
        <v>17215.761971827582</v>
      </c>
      <c r="W114" s="590">
        <f t="shared" si="23"/>
        <v>3992945.1893619113</v>
      </c>
      <c r="X114" s="589" t="b">
        <f t="shared" si="24"/>
        <v>0</v>
      </c>
    </row>
    <row r="115" spans="9:24" ht="16.5" hidden="1" customHeight="1">
      <c r="I115" s="589">
        <v>113</v>
      </c>
      <c r="J115" s="654">
        <f t="shared" si="14"/>
        <v>62117.38548147284</v>
      </c>
      <c r="K115" s="655">
        <f t="shared" si="15"/>
        <v>22581.964478537637</v>
      </c>
      <c r="L115" s="654">
        <f t="shared" si="18"/>
        <v>39535.421002935203</v>
      </c>
      <c r="M115" s="656">
        <f t="shared" si="19"/>
        <v>3347759.2507777102</v>
      </c>
      <c r="N115" s="657">
        <f t="shared" si="25"/>
        <v>3867023.8101841393</v>
      </c>
      <c r="O115" s="589">
        <f t="shared" si="20"/>
        <v>137</v>
      </c>
      <c r="P115" s="654">
        <f t="shared" si="16"/>
        <v>44901.623509645258</v>
      </c>
      <c r="Q115" s="664">
        <f t="shared" si="17"/>
        <v>34765.593705322863</v>
      </c>
      <c r="R115" s="654">
        <f t="shared" si="21"/>
        <v>10136.029804322396</v>
      </c>
      <c r="S115" s="656">
        <f t="shared" si="22"/>
        <v>5204703.0259941071</v>
      </c>
      <c r="T115" s="657">
        <f t="shared" si="26"/>
        <v>4265716.8714372078</v>
      </c>
      <c r="V115" s="665">
        <f t="shared" si="27"/>
        <v>17215.761971827582</v>
      </c>
      <c r="W115" s="590">
        <f t="shared" si="23"/>
        <v>4057139.6537138536</v>
      </c>
      <c r="X115" s="589" t="b">
        <f t="shared" si="24"/>
        <v>0</v>
      </c>
    </row>
    <row r="116" spans="9:24" ht="16.5" hidden="1" customHeight="1">
      <c r="I116" s="589">
        <v>114</v>
      </c>
      <c r="J116" s="654">
        <f t="shared" si="14"/>
        <v>62117.38548147284</v>
      </c>
      <c r="K116" s="655">
        <f t="shared" si="15"/>
        <v>22318.395005184735</v>
      </c>
      <c r="L116" s="654">
        <f t="shared" si="18"/>
        <v>39798.990476288105</v>
      </c>
      <c r="M116" s="656">
        <f t="shared" si="19"/>
        <v>3307960.2603014223</v>
      </c>
      <c r="N116" s="657">
        <f t="shared" si="25"/>
        <v>3889342.205189324</v>
      </c>
      <c r="O116" s="589">
        <f t="shared" si="20"/>
        <v>138</v>
      </c>
      <c r="P116" s="654">
        <f t="shared" si="16"/>
        <v>44901.623509645258</v>
      </c>
      <c r="Q116" s="664">
        <f t="shared" si="17"/>
        <v>34698.020173294048</v>
      </c>
      <c r="R116" s="654">
        <f t="shared" si="21"/>
        <v>10203.603336351211</v>
      </c>
      <c r="S116" s="656">
        <f t="shared" si="22"/>
        <v>5194499.4226577561</v>
      </c>
      <c r="T116" s="657">
        <f t="shared" si="26"/>
        <v>4300414.8916105023</v>
      </c>
      <c r="V116" s="665">
        <f t="shared" si="27"/>
        <v>17215.761971827582</v>
      </c>
      <c r="W116" s="590">
        <f t="shared" si="23"/>
        <v>4122086.1508823936</v>
      </c>
      <c r="X116" s="589" t="b">
        <f t="shared" si="24"/>
        <v>0</v>
      </c>
    </row>
    <row r="117" spans="9:24" ht="16.5" hidden="1" customHeight="1">
      <c r="I117" s="589">
        <v>115</v>
      </c>
      <c r="J117" s="654">
        <f t="shared" si="14"/>
        <v>62117.38548147284</v>
      </c>
      <c r="K117" s="655">
        <f t="shared" si="15"/>
        <v>22053.068402009485</v>
      </c>
      <c r="L117" s="654">
        <f t="shared" si="18"/>
        <v>40064.317079463355</v>
      </c>
      <c r="M117" s="656">
        <f t="shared" si="19"/>
        <v>3267895.9432219588</v>
      </c>
      <c r="N117" s="657">
        <f t="shared" si="25"/>
        <v>3911395.2735913335</v>
      </c>
      <c r="O117" s="589">
        <f t="shared" si="20"/>
        <v>139</v>
      </c>
      <c r="P117" s="654">
        <f t="shared" si="16"/>
        <v>44901.623509645258</v>
      </c>
      <c r="Q117" s="664">
        <f t="shared" si="17"/>
        <v>34629.99615105171</v>
      </c>
      <c r="R117" s="654">
        <f t="shared" si="21"/>
        <v>10271.627358593549</v>
      </c>
      <c r="S117" s="656">
        <f t="shared" si="22"/>
        <v>5184227.7952991622</v>
      </c>
      <c r="T117" s="657">
        <f t="shared" si="26"/>
        <v>4335044.8877615537</v>
      </c>
      <c r="V117" s="665">
        <f t="shared" si="27"/>
        <v>17215.761971827582</v>
      </c>
      <c r="W117" s="590">
        <f t="shared" si="23"/>
        <v>4187793.4908694983</v>
      </c>
      <c r="X117" s="589" t="b">
        <f t="shared" si="24"/>
        <v>0</v>
      </c>
    </row>
    <row r="118" spans="9:24" ht="16.5" hidden="1" customHeight="1">
      <c r="I118" s="589">
        <v>116</v>
      </c>
      <c r="J118" s="654">
        <f t="shared" si="14"/>
        <v>62117.38548147284</v>
      </c>
      <c r="K118" s="655">
        <f t="shared" si="15"/>
        <v>21785.97295481306</v>
      </c>
      <c r="L118" s="654">
        <f t="shared" si="18"/>
        <v>40331.412526659784</v>
      </c>
      <c r="M118" s="656">
        <f t="shared" si="19"/>
        <v>3227564.5306952992</v>
      </c>
      <c r="N118" s="657">
        <f t="shared" si="25"/>
        <v>3933181.2465461465</v>
      </c>
      <c r="O118" s="589">
        <f t="shared" si="20"/>
        <v>140</v>
      </c>
      <c r="P118" s="654">
        <f t="shared" si="16"/>
        <v>44901.623509645258</v>
      </c>
      <c r="Q118" s="664">
        <f t="shared" si="17"/>
        <v>34561.518635327753</v>
      </c>
      <c r="R118" s="654">
        <f t="shared" si="21"/>
        <v>10340.104874317505</v>
      </c>
      <c r="S118" s="656">
        <f t="shared" si="22"/>
        <v>5173887.6904248446</v>
      </c>
      <c r="T118" s="657">
        <f t="shared" si="26"/>
        <v>4369606.4063968817</v>
      </c>
      <c r="V118" s="665">
        <f t="shared" si="27"/>
        <v>17215.761971827582</v>
      </c>
      <c r="W118" s="590">
        <f t="shared" si="23"/>
        <v>4254270.5868855771</v>
      </c>
      <c r="X118" s="589" t="b">
        <f t="shared" si="24"/>
        <v>0</v>
      </c>
    </row>
    <row r="119" spans="9:24" ht="16.5" hidden="1" customHeight="1">
      <c r="I119" s="589">
        <v>117</v>
      </c>
      <c r="J119" s="654">
        <f t="shared" si="14"/>
        <v>62117.38548147284</v>
      </c>
      <c r="K119" s="655">
        <f t="shared" si="15"/>
        <v>21517.096871301997</v>
      </c>
      <c r="L119" s="654">
        <f t="shared" si="18"/>
        <v>40600.288610170843</v>
      </c>
      <c r="M119" s="656">
        <f t="shared" si="19"/>
        <v>3186964.2420851281</v>
      </c>
      <c r="N119" s="657">
        <f t="shared" si="25"/>
        <v>3954698.3434174485</v>
      </c>
      <c r="O119" s="589">
        <f t="shared" si="20"/>
        <v>141</v>
      </c>
      <c r="P119" s="654">
        <f t="shared" si="16"/>
        <v>44901.623509645258</v>
      </c>
      <c r="Q119" s="664">
        <f t="shared" si="17"/>
        <v>34492.584602832299</v>
      </c>
      <c r="R119" s="654">
        <f t="shared" si="21"/>
        <v>10409.038906812959</v>
      </c>
      <c r="S119" s="656">
        <f t="shared" si="22"/>
        <v>5163478.651518032</v>
      </c>
      <c r="T119" s="657">
        <f t="shared" si="26"/>
        <v>4404098.9909997135</v>
      </c>
      <c r="V119" s="665">
        <f t="shared" si="27"/>
        <v>17215.761971827582</v>
      </c>
      <c r="W119" s="590">
        <f t="shared" si="23"/>
        <v>4321526.4565585572</v>
      </c>
      <c r="X119" s="589" t="b">
        <f t="shared" si="24"/>
        <v>0</v>
      </c>
    </row>
    <row r="120" spans="9:24" ht="16.5" hidden="1" customHeight="1">
      <c r="I120" s="589">
        <v>118</v>
      </c>
      <c r="J120" s="654">
        <f t="shared" si="14"/>
        <v>62117.38548147284</v>
      </c>
      <c r="K120" s="655">
        <f t="shared" si="15"/>
        <v>21246.428280567521</v>
      </c>
      <c r="L120" s="654">
        <f t="shared" si="18"/>
        <v>40870.957200905323</v>
      </c>
      <c r="M120" s="656">
        <f t="shared" si="19"/>
        <v>3146093.2848842228</v>
      </c>
      <c r="N120" s="657">
        <f t="shared" si="25"/>
        <v>3975944.7716980162</v>
      </c>
      <c r="O120" s="589">
        <f t="shared" si="20"/>
        <v>142</v>
      </c>
      <c r="P120" s="654">
        <f t="shared" si="16"/>
        <v>44901.623509645258</v>
      </c>
      <c r="Q120" s="664">
        <f t="shared" si="17"/>
        <v>34423.191010120216</v>
      </c>
      <c r="R120" s="654">
        <f t="shared" si="21"/>
        <v>10478.432499525043</v>
      </c>
      <c r="S120" s="656">
        <f t="shared" si="22"/>
        <v>5153000.2190185068</v>
      </c>
      <c r="T120" s="657">
        <f t="shared" si="26"/>
        <v>4438522.1820098339</v>
      </c>
      <c r="V120" s="665">
        <f t="shared" si="27"/>
        <v>17215.761971827582</v>
      </c>
      <c r="W120" s="590">
        <f t="shared" si="23"/>
        <v>4389570.2231571293</v>
      </c>
      <c r="X120" s="589" t="b">
        <f t="shared" si="24"/>
        <v>0</v>
      </c>
    </row>
    <row r="121" spans="9:24" ht="16.5" hidden="1" customHeight="1">
      <c r="I121" s="589">
        <v>119</v>
      </c>
      <c r="J121" s="654">
        <f t="shared" si="14"/>
        <v>62117.38548147284</v>
      </c>
      <c r="K121" s="655">
        <f t="shared" si="15"/>
        <v>20973.955232561486</v>
      </c>
      <c r="L121" s="654">
        <f t="shared" si="18"/>
        <v>41143.430248911354</v>
      </c>
      <c r="M121" s="656">
        <f t="shared" si="19"/>
        <v>3104949.8546353113</v>
      </c>
      <c r="N121" s="657">
        <f t="shared" si="25"/>
        <v>3996918.7269305778</v>
      </c>
      <c r="O121" s="589">
        <f t="shared" si="20"/>
        <v>143</v>
      </c>
      <c r="P121" s="654">
        <f t="shared" si="16"/>
        <v>44901.623509645258</v>
      </c>
      <c r="Q121" s="664">
        <f t="shared" si="17"/>
        <v>34353.334793456714</v>
      </c>
      <c r="R121" s="654">
        <f t="shared" si="21"/>
        <v>10548.288716188545</v>
      </c>
      <c r="S121" s="656">
        <f t="shared" si="22"/>
        <v>5142451.9303023182</v>
      </c>
      <c r="T121" s="657">
        <f t="shared" si="26"/>
        <v>4472875.5168032907</v>
      </c>
      <c r="V121" s="665">
        <f t="shared" si="27"/>
        <v>17215.761971827582</v>
      </c>
      <c r="W121" s="590">
        <f t="shared" si="23"/>
        <v>4458411.1168283168</v>
      </c>
      <c r="X121" s="589" t="b">
        <f t="shared" si="24"/>
        <v>0</v>
      </c>
    </row>
    <row r="122" spans="9:24" ht="16.5" hidden="1" customHeight="1">
      <c r="I122" s="589">
        <v>120</v>
      </c>
      <c r="J122" s="654">
        <f t="shared" si="14"/>
        <v>62117.38548147284</v>
      </c>
      <c r="K122" s="655">
        <f t="shared" si="15"/>
        <v>20699.665697568744</v>
      </c>
      <c r="L122" s="654">
        <f t="shared" si="18"/>
        <v>41417.719783904096</v>
      </c>
      <c r="M122" s="656">
        <f t="shared" si="19"/>
        <v>3063532.1348514073</v>
      </c>
      <c r="N122" s="657">
        <f t="shared" si="25"/>
        <v>4017618.3926281463</v>
      </c>
      <c r="O122" s="589">
        <f t="shared" si="20"/>
        <v>144</v>
      </c>
      <c r="P122" s="654">
        <f t="shared" si="16"/>
        <v>44901.623509645258</v>
      </c>
      <c r="Q122" s="664">
        <f t="shared" si="17"/>
        <v>34283.012868682126</v>
      </c>
      <c r="R122" s="654">
        <f t="shared" si="21"/>
        <v>10618.610640963132</v>
      </c>
      <c r="S122" s="656">
        <f t="shared" si="22"/>
        <v>5131833.3196613546</v>
      </c>
      <c r="T122" s="657">
        <f t="shared" si="26"/>
        <v>4507158.5296719726</v>
      </c>
      <c r="V122" s="665">
        <f t="shared" si="27"/>
        <v>17215.761971827582</v>
      </c>
      <c r="W122" s="590">
        <f t="shared" si="23"/>
        <v>4528058.4758495511</v>
      </c>
      <c r="X122" s="589" t="b">
        <f t="shared" si="24"/>
        <v>0</v>
      </c>
    </row>
    <row r="123" spans="9:24" ht="16.5" hidden="1" customHeight="1">
      <c r="I123" s="589">
        <v>121</v>
      </c>
      <c r="J123" s="654">
        <f t="shared" si="14"/>
        <v>62117.38548147284</v>
      </c>
      <c r="K123" s="655">
        <f t="shared" si="15"/>
        <v>20423.54756567605</v>
      </c>
      <c r="L123" s="654">
        <f t="shared" si="18"/>
        <v>41693.837915796787</v>
      </c>
      <c r="M123" s="656">
        <f t="shared" si="19"/>
        <v>3021838.2969356105</v>
      </c>
      <c r="N123" s="657">
        <f t="shared" si="25"/>
        <v>4038041.9401938226</v>
      </c>
      <c r="O123" s="589">
        <f t="shared" si="20"/>
        <v>145</v>
      </c>
      <c r="P123" s="654">
        <f t="shared" si="16"/>
        <v>44901.623509645258</v>
      </c>
      <c r="Q123" s="664">
        <f t="shared" si="17"/>
        <v>34212.222131075701</v>
      </c>
      <c r="R123" s="654">
        <f t="shared" si="21"/>
        <v>10689.401378569557</v>
      </c>
      <c r="S123" s="656">
        <f t="shared" si="22"/>
        <v>5121143.9182827855</v>
      </c>
      <c r="T123" s="657">
        <f t="shared" si="26"/>
        <v>4541370.751803048</v>
      </c>
      <c r="V123" s="665">
        <f t="shared" si="27"/>
        <v>17215.761971827582</v>
      </c>
      <c r="W123" s="590">
        <f t="shared" si="23"/>
        <v>4598521.7478954066</v>
      </c>
      <c r="X123" s="589" t="b">
        <f t="shared" si="24"/>
        <v>0</v>
      </c>
    </row>
    <row r="124" spans="9:24" ht="16.5" hidden="1" customHeight="1">
      <c r="I124" s="589">
        <v>122</v>
      </c>
      <c r="J124" s="654">
        <f t="shared" si="14"/>
        <v>62117.38548147284</v>
      </c>
      <c r="K124" s="655">
        <f t="shared" si="15"/>
        <v>20145.588646237404</v>
      </c>
      <c r="L124" s="654">
        <f t="shared" si="18"/>
        <v>41971.796835235436</v>
      </c>
      <c r="M124" s="656">
        <f t="shared" si="19"/>
        <v>2979866.5001003752</v>
      </c>
      <c r="N124" s="657">
        <f t="shared" si="25"/>
        <v>4058187.5288400599</v>
      </c>
      <c r="O124" s="589">
        <f t="shared" si="20"/>
        <v>146</v>
      </c>
      <c r="P124" s="654">
        <f t="shared" si="16"/>
        <v>44901.623509645258</v>
      </c>
      <c r="Q124" s="664">
        <f t="shared" si="17"/>
        <v>34140.959455218574</v>
      </c>
      <c r="R124" s="654">
        <f t="shared" si="21"/>
        <v>10760.664054426685</v>
      </c>
      <c r="S124" s="656">
        <f t="shared" si="22"/>
        <v>5110383.2542283591</v>
      </c>
      <c r="T124" s="657">
        <f t="shared" si="26"/>
        <v>4575511.7112582661</v>
      </c>
      <c r="V124" s="665">
        <f t="shared" si="27"/>
        <v>17215.761971827582</v>
      </c>
      <c r="W124" s="590">
        <f t="shared" si="23"/>
        <v>4669810.4913191805</v>
      </c>
      <c r="X124" s="589" t="b">
        <f t="shared" si="24"/>
        <v>0</v>
      </c>
    </row>
    <row r="125" spans="9:24" ht="16.5" hidden="1" customHeight="1">
      <c r="I125" s="589">
        <v>123</v>
      </c>
      <c r="J125" s="654">
        <f t="shared" si="14"/>
        <v>62117.38548147284</v>
      </c>
      <c r="K125" s="655">
        <f t="shared" si="15"/>
        <v>19865.776667335835</v>
      </c>
      <c r="L125" s="654">
        <f t="shared" si="18"/>
        <v>42251.608814137006</v>
      </c>
      <c r="M125" s="656">
        <f t="shared" si="19"/>
        <v>2937614.8912862381</v>
      </c>
      <c r="N125" s="657">
        <f t="shared" si="25"/>
        <v>4078053.3055073959</v>
      </c>
      <c r="O125" s="589">
        <f t="shared" si="20"/>
        <v>147</v>
      </c>
      <c r="P125" s="654">
        <f t="shared" si="16"/>
        <v>44901.623509645258</v>
      </c>
      <c r="Q125" s="664">
        <f t="shared" si="17"/>
        <v>34069.221694855732</v>
      </c>
      <c r="R125" s="654">
        <f t="shared" si="21"/>
        <v>10832.401814789526</v>
      </c>
      <c r="S125" s="656">
        <f t="shared" si="22"/>
        <v>5099550.8524135696</v>
      </c>
      <c r="T125" s="657">
        <f t="shared" si="26"/>
        <v>4609580.9329531221</v>
      </c>
      <c r="V125" s="665">
        <f t="shared" si="27"/>
        <v>17215.761971827582</v>
      </c>
      <c r="W125" s="590">
        <f t="shared" si="23"/>
        <v>4741934.3764494844</v>
      </c>
      <c r="X125" s="589" t="b">
        <f t="shared" si="24"/>
        <v>0</v>
      </c>
    </row>
    <row r="126" spans="9:24" ht="16.5" hidden="1" customHeight="1">
      <c r="I126" s="589">
        <v>124</v>
      </c>
      <c r="J126" s="654">
        <f t="shared" si="14"/>
        <v>62117.38548147284</v>
      </c>
      <c r="K126" s="655">
        <f t="shared" si="15"/>
        <v>19584.099275241588</v>
      </c>
      <c r="L126" s="654">
        <f t="shared" si="18"/>
        <v>42533.286206231249</v>
      </c>
      <c r="M126" s="656">
        <f t="shared" si="19"/>
        <v>2895081.6050800066</v>
      </c>
      <c r="N126" s="657">
        <f t="shared" si="25"/>
        <v>4097637.4047826375</v>
      </c>
      <c r="O126" s="589">
        <f t="shared" si="20"/>
        <v>148</v>
      </c>
      <c r="P126" s="654">
        <f t="shared" si="16"/>
        <v>44901.623509645258</v>
      </c>
      <c r="Q126" s="664">
        <f t="shared" si="17"/>
        <v>33997.005682757132</v>
      </c>
      <c r="R126" s="654">
        <f t="shared" si="21"/>
        <v>10904.617826888127</v>
      </c>
      <c r="S126" s="656">
        <f t="shared" si="22"/>
        <v>5088646.2345866812</v>
      </c>
      <c r="T126" s="657">
        <f t="shared" si="26"/>
        <v>4643577.9386358792</v>
      </c>
      <c r="V126" s="665">
        <f t="shared" si="27"/>
        <v>17215.761971827582</v>
      </c>
      <c r="W126" s="590">
        <f t="shared" si="23"/>
        <v>4814903.1869020266</v>
      </c>
      <c r="X126" s="589" t="b">
        <f t="shared" si="24"/>
        <v>0</v>
      </c>
    </row>
    <row r="127" spans="9:24" ht="16.5" hidden="1" customHeight="1">
      <c r="I127" s="589">
        <v>125</v>
      </c>
      <c r="J127" s="654">
        <f t="shared" si="14"/>
        <v>62117.38548147284</v>
      </c>
      <c r="K127" s="655">
        <f t="shared" si="15"/>
        <v>19300.544033866714</v>
      </c>
      <c r="L127" s="654">
        <f t="shared" si="18"/>
        <v>42816.84144760613</v>
      </c>
      <c r="M127" s="656">
        <f t="shared" si="19"/>
        <v>2852264.7636324004</v>
      </c>
      <c r="N127" s="657">
        <f t="shared" si="25"/>
        <v>4116937.9488165043</v>
      </c>
      <c r="O127" s="589">
        <f t="shared" si="20"/>
        <v>149</v>
      </c>
      <c r="P127" s="654">
        <f t="shared" si="16"/>
        <v>44901.623509645258</v>
      </c>
      <c r="Q127" s="664">
        <f t="shared" si="17"/>
        <v>33924.308230577873</v>
      </c>
      <c r="R127" s="654">
        <f t="shared" si="21"/>
        <v>10977.315279067385</v>
      </c>
      <c r="S127" s="656">
        <f t="shared" si="22"/>
        <v>5077668.9193076137</v>
      </c>
      <c r="T127" s="657">
        <f t="shared" si="26"/>
        <v>4677502.2468664572</v>
      </c>
      <c r="V127" s="665">
        <f t="shared" si="27"/>
        <v>17215.761971827582</v>
      </c>
      <c r="W127" s="590">
        <f t="shared" si="23"/>
        <v>4888726.8209067611</v>
      </c>
      <c r="X127" s="589" t="b">
        <f t="shared" si="24"/>
        <v>0</v>
      </c>
    </row>
    <row r="128" spans="9:24" ht="16.5" hidden="1" customHeight="1">
      <c r="I128" s="589">
        <v>126</v>
      </c>
      <c r="J128" s="654">
        <f t="shared" si="14"/>
        <v>62117.38548147284</v>
      </c>
      <c r="K128" s="655">
        <f t="shared" si="15"/>
        <v>19015.098424216005</v>
      </c>
      <c r="L128" s="654">
        <f t="shared" si="18"/>
        <v>43102.287057256835</v>
      </c>
      <c r="M128" s="656">
        <f t="shared" si="19"/>
        <v>2809162.4765751436</v>
      </c>
      <c r="N128" s="657">
        <f t="shared" si="25"/>
        <v>4135953.0472407201</v>
      </c>
      <c r="O128" s="589">
        <f t="shared" si="20"/>
        <v>150</v>
      </c>
      <c r="P128" s="654">
        <f t="shared" si="16"/>
        <v>44901.623509645258</v>
      </c>
      <c r="Q128" s="664">
        <f t="shared" si="17"/>
        <v>33851.126128717427</v>
      </c>
      <c r="R128" s="654">
        <f t="shared" si="21"/>
        <v>11050.497380927831</v>
      </c>
      <c r="S128" s="656">
        <f t="shared" si="22"/>
        <v>5066618.4219266856</v>
      </c>
      <c r="T128" s="657">
        <f t="shared" si="26"/>
        <v>4711353.3729951745</v>
      </c>
      <c r="V128" s="665">
        <f t="shared" si="27"/>
        <v>17215.761971827582</v>
      </c>
      <c r="W128" s="590">
        <f t="shared" si="23"/>
        <v>4963415.2926505823</v>
      </c>
      <c r="X128" s="589" t="b">
        <f t="shared" si="24"/>
        <v>0</v>
      </c>
    </row>
    <row r="129" spans="9:24" ht="16.5" hidden="1" customHeight="1">
      <c r="I129" s="589">
        <v>127</v>
      </c>
      <c r="J129" s="654">
        <f t="shared" si="14"/>
        <v>62117.38548147284</v>
      </c>
      <c r="K129" s="655">
        <f t="shared" si="15"/>
        <v>18727.749843834292</v>
      </c>
      <c r="L129" s="654">
        <f t="shared" si="18"/>
        <v>43389.635637638552</v>
      </c>
      <c r="M129" s="656">
        <f t="shared" si="19"/>
        <v>2765772.840937505</v>
      </c>
      <c r="N129" s="657">
        <f t="shared" si="25"/>
        <v>4154680.7970845546</v>
      </c>
      <c r="O129" s="589">
        <f t="shared" si="20"/>
        <v>151</v>
      </c>
      <c r="P129" s="654">
        <f t="shared" si="16"/>
        <v>44901.623509645258</v>
      </c>
      <c r="Q129" s="664">
        <f t="shared" si="17"/>
        <v>33777.456146177909</v>
      </c>
      <c r="R129" s="654">
        <f t="shared" si="21"/>
        <v>11124.16736346735</v>
      </c>
      <c r="S129" s="656">
        <f t="shared" si="22"/>
        <v>5055494.254563218</v>
      </c>
      <c r="T129" s="657">
        <f t="shared" si="26"/>
        <v>4745130.8291413523</v>
      </c>
      <c r="V129" s="665">
        <f t="shared" si="27"/>
        <v>17215.761971827582</v>
      </c>
      <c r="W129" s="590">
        <f t="shared" si="23"/>
        <v>5038978.7336357534</v>
      </c>
      <c r="X129" s="589" t="b">
        <f t="shared" si="24"/>
        <v>0</v>
      </c>
    </row>
    <row r="130" spans="9:24" ht="16.5" hidden="1" customHeight="1">
      <c r="I130" s="589">
        <v>128</v>
      </c>
      <c r="J130" s="654">
        <f t="shared" si="14"/>
        <v>62117.38548147284</v>
      </c>
      <c r="K130" s="655">
        <f t="shared" si="15"/>
        <v>18438.485606250033</v>
      </c>
      <c r="L130" s="654">
        <f t="shared" si="18"/>
        <v>43678.899875222807</v>
      </c>
      <c r="M130" s="656">
        <f t="shared" si="19"/>
        <v>2722093.9410622823</v>
      </c>
      <c r="N130" s="657">
        <f t="shared" si="25"/>
        <v>4173119.2826908045</v>
      </c>
      <c r="O130" s="589">
        <f t="shared" si="20"/>
        <v>152</v>
      </c>
      <c r="P130" s="654">
        <f t="shared" si="16"/>
        <v>44901.623509645258</v>
      </c>
      <c r="Q130" s="664">
        <f t="shared" si="17"/>
        <v>33703.295030421454</v>
      </c>
      <c r="R130" s="654">
        <f t="shared" si="21"/>
        <v>11198.328479223805</v>
      </c>
      <c r="S130" s="656">
        <f t="shared" si="22"/>
        <v>5044295.9260839941</v>
      </c>
      <c r="T130" s="657">
        <f t="shared" si="26"/>
        <v>4778834.1241717739</v>
      </c>
      <c r="V130" s="665">
        <f t="shared" si="27"/>
        <v>17215.761971827582</v>
      </c>
      <c r="W130" s="590">
        <f t="shared" si="23"/>
        <v>5115427.3940542443</v>
      </c>
      <c r="X130" s="589" t="b">
        <f t="shared" si="24"/>
        <v>1</v>
      </c>
    </row>
    <row r="131" spans="9:24" ht="16.5" hidden="1" customHeight="1">
      <c r="I131" s="589">
        <v>129</v>
      </c>
      <c r="J131" s="654">
        <f t="shared" ref="J131:J194" si="28">$C$8</f>
        <v>62117.38548147284</v>
      </c>
      <c r="K131" s="655">
        <f t="shared" ref="K131:K194" si="29">M130*($C$6/12)</f>
        <v>18147.292940415216</v>
      </c>
      <c r="L131" s="654">
        <f t="shared" si="18"/>
        <v>43970.092541057624</v>
      </c>
      <c r="M131" s="656">
        <f t="shared" si="19"/>
        <v>2678123.8485212247</v>
      </c>
      <c r="N131" s="657">
        <f t="shared" si="25"/>
        <v>4191266.5756312199</v>
      </c>
      <c r="O131" s="589">
        <f t="shared" si="20"/>
        <v>153</v>
      </c>
      <c r="P131" s="654">
        <f t="shared" ref="P131:P194" si="30">$C$15</f>
        <v>44901.623509645258</v>
      </c>
      <c r="Q131" s="664">
        <f t="shared" ref="Q131:Q194" si="31">S130*($C$6/12)</f>
        <v>33628.639507226631</v>
      </c>
      <c r="R131" s="654">
        <f t="shared" si="21"/>
        <v>11272.984002418627</v>
      </c>
      <c r="S131" s="656">
        <f t="shared" si="22"/>
        <v>5033022.9420815753</v>
      </c>
      <c r="T131" s="657">
        <f t="shared" si="26"/>
        <v>4812462.7636790005</v>
      </c>
      <c r="V131" s="665">
        <f t="shared" si="27"/>
        <v>17215.761971827582</v>
      </c>
      <c r="W131" s="590">
        <f t="shared" si="23"/>
        <v>5192771.6441781716</v>
      </c>
      <c r="X131" s="589" t="b">
        <f t="shared" si="24"/>
        <v>1</v>
      </c>
    </row>
    <row r="132" spans="9:24" ht="16.5" hidden="1" customHeight="1">
      <c r="I132" s="589">
        <v>130</v>
      </c>
      <c r="J132" s="654">
        <f t="shared" si="28"/>
        <v>62117.38548147284</v>
      </c>
      <c r="K132" s="655">
        <f t="shared" si="29"/>
        <v>17854.158990141499</v>
      </c>
      <c r="L132" s="654">
        <f t="shared" ref="L132:L195" si="32">J132-K132</f>
        <v>44263.226491331341</v>
      </c>
      <c r="M132" s="656">
        <f t="shared" ref="M132:M195" si="33">M131-L132</f>
        <v>2633860.6220298936</v>
      </c>
      <c r="N132" s="657">
        <f t="shared" si="25"/>
        <v>4209120.7346213618</v>
      </c>
      <c r="O132" s="589">
        <f t="shared" ref="O132:O195" si="34">O131+1</f>
        <v>154</v>
      </c>
      <c r="P132" s="654">
        <f t="shared" si="30"/>
        <v>44901.623509645258</v>
      </c>
      <c r="Q132" s="664">
        <f t="shared" si="31"/>
        <v>33553.486280543839</v>
      </c>
      <c r="R132" s="654">
        <f t="shared" ref="R132:R195" si="35">P132-Q132</f>
        <v>11348.13722910142</v>
      </c>
      <c r="S132" s="656">
        <f t="shared" ref="S132:S195" si="36">S131-R132</f>
        <v>5021674.8048524735</v>
      </c>
      <c r="T132" s="657">
        <f t="shared" si="26"/>
        <v>4846016.2499595443</v>
      </c>
      <c r="V132" s="665">
        <f t="shared" si="27"/>
        <v>17215.761971827582</v>
      </c>
      <c r="W132" s="590">
        <f t="shared" ref="W132:W195" si="37">FV((1+Scenario1)^(1/12)-1,1,-V132,-W131,1)</f>
        <v>5271021.9757665293</v>
      </c>
      <c r="X132" s="589" t="b">
        <f t="shared" ref="X132:X195" si="38">W132&gt;=S132</f>
        <v>1</v>
      </c>
    </row>
    <row r="133" spans="9:24" ht="16.5" hidden="1" customHeight="1">
      <c r="I133" s="589">
        <v>131</v>
      </c>
      <c r="J133" s="654">
        <f t="shared" si="28"/>
        <v>62117.38548147284</v>
      </c>
      <c r="K133" s="655">
        <f t="shared" si="29"/>
        <v>17559.070813532624</v>
      </c>
      <c r="L133" s="654">
        <f t="shared" si="32"/>
        <v>44558.314667940213</v>
      </c>
      <c r="M133" s="656">
        <f t="shared" si="33"/>
        <v>2589302.3073619534</v>
      </c>
      <c r="N133" s="657">
        <f t="shared" ref="N133:N196" si="39">N132+K133</f>
        <v>4226679.8054348947</v>
      </c>
      <c r="O133" s="589">
        <f t="shared" si="34"/>
        <v>155</v>
      </c>
      <c r="P133" s="654">
        <f t="shared" si="30"/>
        <v>44901.623509645258</v>
      </c>
      <c r="Q133" s="664">
        <f t="shared" si="31"/>
        <v>33477.832032349826</v>
      </c>
      <c r="R133" s="654">
        <f t="shared" si="35"/>
        <v>11423.791477295432</v>
      </c>
      <c r="S133" s="656">
        <f t="shared" si="36"/>
        <v>5010251.013375178</v>
      </c>
      <c r="T133" s="657">
        <f t="shared" ref="T133:T196" si="40">T132+Q133</f>
        <v>4879494.0819918942</v>
      </c>
      <c r="V133" s="665">
        <f t="shared" ref="V133:V196" si="41">V132</f>
        <v>17215.761971827582</v>
      </c>
      <c r="W133" s="590">
        <f t="shared" si="37"/>
        <v>5350189.0034883954</v>
      </c>
      <c r="X133" s="589" t="b">
        <f t="shared" si="38"/>
        <v>1</v>
      </c>
    </row>
    <row r="134" spans="9:24" ht="16.5" hidden="1" customHeight="1">
      <c r="I134" s="589">
        <v>132</v>
      </c>
      <c r="J134" s="654">
        <f t="shared" si="28"/>
        <v>62117.38548147284</v>
      </c>
      <c r="K134" s="655">
        <f t="shared" si="29"/>
        <v>17262.015382413025</v>
      </c>
      <c r="L134" s="654">
        <f t="shared" si="32"/>
        <v>44855.370099059815</v>
      </c>
      <c r="M134" s="656">
        <f t="shared" si="33"/>
        <v>2544446.9372628937</v>
      </c>
      <c r="N134" s="657">
        <f t="shared" si="39"/>
        <v>4243941.8208173076</v>
      </c>
      <c r="O134" s="589">
        <f t="shared" si="34"/>
        <v>156</v>
      </c>
      <c r="P134" s="654">
        <f t="shared" si="30"/>
        <v>44901.623509645258</v>
      </c>
      <c r="Q134" s="664">
        <f t="shared" si="31"/>
        <v>33401.67342250119</v>
      </c>
      <c r="R134" s="654">
        <f t="shared" si="35"/>
        <v>11499.950087144069</v>
      </c>
      <c r="S134" s="656">
        <f t="shared" si="36"/>
        <v>4998751.0632880339</v>
      </c>
      <c r="T134" s="657">
        <f t="shared" si="40"/>
        <v>4912895.7554143956</v>
      </c>
      <c r="V134" s="665">
        <f t="shared" si="41"/>
        <v>17215.761971827582</v>
      </c>
      <c r="W134" s="590">
        <f t="shared" si="37"/>
        <v>5430283.4663628154</v>
      </c>
      <c r="X134" s="589" t="b">
        <f t="shared" si="38"/>
        <v>1</v>
      </c>
    </row>
    <row r="135" spans="9:24" ht="16.5" hidden="1" customHeight="1">
      <c r="I135" s="589">
        <v>133</v>
      </c>
      <c r="J135" s="654">
        <f t="shared" si="28"/>
        <v>62117.38548147284</v>
      </c>
      <c r="K135" s="655">
        <f t="shared" si="29"/>
        <v>16962.979581752625</v>
      </c>
      <c r="L135" s="654">
        <f t="shared" si="32"/>
        <v>45154.405899720216</v>
      </c>
      <c r="M135" s="656">
        <f t="shared" si="33"/>
        <v>2499292.5313631734</v>
      </c>
      <c r="N135" s="657">
        <f t="shared" si="39"/>
        <v>4260904.8003990604</v>
      </c>
      <c r="O135" s="589">
        <f t="shared" si="34"/>
        <v>157</v>
      </c>
      <c r="P135" s="654">
        <f t="shared" si="30"/>
        <v>44901.623509645258</v>
      </c>
      <c r="Q135" s="664">
        <f t="shared" si="31"/>
        <v>33325.007088586892</v>
      </c>
      <c r="R135" s="654">
        <f t="shared" si="35"/>
        <v>11576.616421058367</v>
      </c>
      <c r="S135" s="656">
        <f t="shared" si="36"/>
        <v>4987174.4468669752</v>
      </c>
      <c r="T135" s="657">
        <f t="shared" si="40"/>
        <v>4946220.7625029823</v>
      </c>
      <c r="V135" s="665">
        <f t="shared" si="41"/>
        <v>17215.761971827582</v>
      </c>
      <c r="W135" s="590">
        <f t="shared" si="37"/>
        <v>5511316.2292155493</v>
      </c>
      <c r="X135" s="589" t="b">
        <f t="shared" si="38"/>
        <v>1</v>
      </c>
    </row>
    <row r="136" spans="9:24" ht="16.5" hidden="1" customHeight="1">
      <c r="I136" s="589">
        <v>134</v>
      </c>
      <c r="J136" s="654">
        <f t="shared" si="28"/>
        <v>62117.38548147284</v>
      </c>
      <c r="K136" s="655">
        <f t="shared" si="29"/>
        <v>16661.950209087823</v>
      </c>
      <c r="L136" s="654">
        <f t="shared" si="32"/>
        <v>45455.435272385017</v>
      </c>
      <c r="M136" s="656">
        <f t="shared" si="33"/>
        <v>2453837.0960907885</v>
      </c>
      <c r="N136" s="657">
        <f t="shared" si="39"/>
        <v>4277566.7506081481</v>
      </c>
      <c r="O136" s="589">
        <f t="shared" si="34"/>
        <v>158</v>
      </c>
      <c r="P136" s="654">
        <f t="shared" si="30"/>
        <v>44901.623509645258</v>
      </c>
      <c r="Q136" s="664">
        <f t="shared" si="31"/>
        <v>33247.829645779835</v>
      </c>
      <c r="R136" s="654">
        <f t="shared" si="35"/>
        <v>11653.793863865423</v>
      </c>
      <c r="S136" s="656">
        <f t="shared" si="36"/>
        <v>4975520.6530031096</v>
      </c>
      <c r="T136" s="657">
        <f t="shared" si="40"/>
        <v>4979468.5921487622</v>
      </c>
      <c r="V136" s="665">
        <f t="shared" si="41"/>
        <v>17215.761971827582</v>
      </c>
      <c r="W136" s="590">
        <f t="shared" si="37"/>
        <v>5593298.2841528887</v>
      </c>
      <c r="X136" s="589" t="b">
        <f t="shared" si="38"/>
        <v>1</v>
      </c>
    </row>
    <row r="137" spans="9:24" ht="16.5" hidden="1" customHeight="1">
      <c r="I137" s="589">
        <v>135</v>
      </c>
      <c r="J137" s="654">
        <f t="shared" si="28"/>
        <v>62117.38548147284</v>
      </c>
      <c r="K137" s="655">
        <f t="shared" si="29"/>
        <v>16358.91397393859</v>
      </c>
      <c r="L137" s="654">
        <f t="shared" si="32"/>
        <v>45758.471507534254</v>
      </c>
      <c r="M137" s="656">
        <f t="shared" si="33"/>
        <v>2408078.6245832541</v>
      </c>
      <c r="N137" s="657">
        <f t="shared" si="39"/>
        <v>4293925.6645820867</v>
      </c>
      <c r="O137" s="589">
        <f t="shared" si="34"/>
        <v>159</v>
      </c>
      <c r="P137" s="654">
        <f t="shared" si="30"/>
        <v>44901.623509645258</v>
      </c>
      <c r="Q137" s="664">
        <f t="shared" si="31"/>
        <v>33170.137686687398</v>
      </c>
      <c r="R137" s="654">
        <f t="shared" si="35"/>
        <v>11731.48582295786</v>
      </c>
      <c r="S137" s="656">
        <f t="shared" si="36"/>
        <v>4963789.1671801517</v>
      </c>
      <c r="T137" s="657">
        <f t="shared" si="40"/>
        <v>5012638.7298354497</v>
      </c>
      <c r="V137" s="665">
        <f t="shared" si="41"/>
        <v>17215.761971827582</v>
      </c>
      <c r="W137" s="590">
        <f t="shared" si="37"/>
        <v>5676240.7520527383</v>
      </c>
      <c r="X137" s="589" t="b">
        <f t="shared" si="38"/>
        <v>1</v>
      </c>
    </row>
    <row r="138" spans="9:24" ht="16.5" hidden="1" customHeight="1">
      <c r="I138" s="589">
        <v>136</v>
      </c>
      <c r="J138" s="654">
        <f t="shared" si="28"/>
        <v>62117.38548147284</v>
      </c>
      <c r="K138" s="655">
        <f t="shared" si="29"/>
        <v>16053.857497221696</v>
      </c>
      <c r="L138" s="654">
        <f t="shared" si="32"/>
        <v>46063.527984251145</v>
      </c>
      <c r="M138" s="656">
        <f t="shared" si="33"/>
        <v>2362015.0965990028</v>
      </c>
      <c r="N138" s="657">
        <f t="shared" si="39"/>
        <v>4309979.5220793085</v>
      </c>
      <c r="O138" s="589">
        <f t="shared" si="34"/>
        <v>160</v>
      </c>
      <c r="P138" s="654">
        <f t="shared" si="30"/>
        <v>44901.623509645258</v>
      </c>
      <c r="Q138" s="664">
        <f t="shared" si="31"/>
        <v>33091.927781201011</v>
      </c>
      <c r="R138" s="654">
        <f t="shared" si="35"/>
        <v>11809.695728444247</v>
      </c>
      <c r="S138" s="656">
        <f t="shared" si="36"/>
        <v>4951979.4714517072</v>
      </c>
      <c r="T138" s="657">
        <f t="shared" si="40"/>
        <v>5045730.6576166507</v>
      </c>
      <c r="V138" s="665">
        <f t="shared" si="41"/>
        <v>17215.761971827582</v>
      </c>
      <c r="W138" s="590">
        <f t="shared" si="37"/>
        <v>5760154.8840731625</v>
      </c>
      <c r="X138" s="589" t="b">
        <f t="shared" si="38"/>
        <v>1</v>
      </c>
    </row>
    <row r="139" spans="9:24" ht="16.5" hidden="1" customHeight="1">
      <c r="I139" s="589">
        <v>137</v>
      </c>
      <c r="J139" s="654">
        <f t="shared" si="28"/>
        <v>62117.38548147284</v>
      </c>
      <c r="K139" s="655">
        <f t="shared" si="29"/>
        <v>15746.76731066002</v>
      </c>
      <c r="L139" s="654">
        <f t="shared" si="32"/>
        <v>46370.618170812821</v>
      </c>
      <c r="M139" s="656">
        <f t="shared" si="33"/>
        <v>2315644.4784281901</v>
      </c>
      <c r="N139" s="657">
        <f t="shared" si="39"/>
        <v>4325726.2893899688</v>
      </c>
      <c r="O139" s="589">
        <f t="shared" si="34"/>
        <v>161</v>
      </c>
      <c r="P139" s="654">
        <f t="shared" si="30"/>
        <v>44901.623509645258</v>
      </c>
      <c r="Q139" s="664">
        <f t="shared" si="31"/>
        <v>33013.196476344718</v>
      </c>
      <c r="R139" s="654">
        <f t="shared" si="35"/>
        <v>11888.427033300541</v>
      </c>
      <c r="S139" s="656">
        <f t="shared" si="36"/>
        <v>4940091.0444184067</v>
      </c>
      <c r="T139" s="657">
        <f t="shared" si="40"/>
        <v>5078743.8540929956</v>
      </c>
      <c r="V139" s="665">
        <f t="shared" si="41"/>
        <v>17215.761971827582</v>
      </c>
      <c r="W139" s="590">
        <f t="shared" si="37"/>
        <v>5845052.0631786073</v>
      </c>
      <c r="X139" s="589" t="b">
        <f t="shared" si="38"/>
        <v>1</v>
      </c>
    </row>
    <row r="140" spans="9:24" ht="16.5" hidden="1" customHeight="1">
      <c r="I140" s="589">
        <v>138</v>
      </c>
      <c r="J140" s="654">
        <f t="shared" si="28"/>
        <v>62117.38548147284</v>
      </c>
      <c r="K140" s="655">
        <f t="shared" si="29"/>
        <v>15437.629856187936</v>
      </c>
      <c r="L140" s="654">
        <f t="shared" si="32"/>
        <v>46679.755625284903</v>
      </c>
      <c r="M140" s="656">
        <f t="shared" si="33"/>
        <v>2268964.7228029054</v>
      </c>
      <c r="N140" s="657">
        <f t="shared" si="39"/>
        <v>4341163.9192461567</v>
      </c>
      <c r="O140" s="589">
        <f t="shared" si="34"/>
        <v>162</v>
      </c>
      <c r="P140" s="654">
        <f t="shared" si="30"/>
        <v>44901.623509645258</v>
      </c>
      <c r="Q140" s="664">
        <f t="shared" si="31"/>
        <v>32933.94029612271</v>
      </c>
      <c r="R140" s="654">
        <f t="shared" si="35"/>
        <v>11967.683213522549</v>
      </c>
      <c r="S140" s="656">
        <f t="shared" si="36"/>
        <v>4928123.361204884</v>
      </c>
      <c r="T140" s="657">
        <f t="shared" si="40"/>
        <v>5111677.7943891184</v>
      </c>
      <c r="V140" s="665">
        <f t="shared" si="41"/>
        <v>17215.761971827582</v>
      </c>
      <c r="W140" s="590">
        <f t="shared" si="37"/>
        <v>5930943.8056840021</v>
      </c>
      <c r="X140" s="589" t="b">
        <f t="shared" si="38"/>
        <v>1</v>
      </c>
    </row>
    <row r="141" spans="9:24" ht="16.5" hidden="1" customHeight="1">
      <c r="I141" s="589">
        <v>139</v>
      </c>
      <c r="J141" s="654">
        <f t="shared" si="28"/>
        <v>62117.38548147284</v>
      </c>
      <c r="K141" s="655">
        <f t="shared" si="29"/>
        <v>15126.431485352703</v>
      </c>
      <c r="L141" s="654">
        <f t="shared" si="32"/>
        <v>46990.953996120137</v>
      </c>
      <c r="M141" s="656">
        <f t="shared" si="33"/>
        <v>2221973.7688067853</v>
      </c>
      <c r="N141" s="657">
        <f t="shared" si="39"/>
        <v>4356290.3507315097</v>
      </c>
      <c r="O141" s="589">
        <f t="shared" si="34"/>
        <v>163</v>
      </c>
      <c r="P141" s="654">
        <f t="shared" si="30"/>
        <v>44901.623509645258</v>
      </c>
      <c r="Q141" s="664">
        <f t="shared" si="31"/>
        <v>32854.155741365896</v>
      </c>
      <c r="R141" s="654">
        <f t="shared" si="35"/>
        <v>12047.467768279363</v>
      </c>
      <c r="S141" s="656">
        <f t="shared" si="36"/>
        <v>4916075.8934366051</v>
      </c>
      <c r="T141" s="657">
        <f t="shared" si="40"/>
        <v>5144531.9501304841</v>
      </c>
      <c r="V141" s="665">
        <f t="shared" si="41"/>
        <v>17215.761971827582</v>
      </c>
      <c r="W141" s="590">
        <f t="shared" si="37"/>
        <v>6017841.7628169488</v>
      </c>
      <c r="X141" s="589" t="b">
        <f t="shared" si="38"/>
        <v>1</v>
      </c>
    </row>
    <row r="142" spans="9:24" ht="16.5" hidden="1" customHeight="1">
      <c r="I142" s="589">
        <v>140</v>
      </c>
      <c r="J142" s="654">
        <f t="shared" si="28"/>
        <v>62117.38548147284</v>
      </c>
      <c r="K142" s="655">
        <f t="shared" si="29"/>
        <v>14813.158458711903</v>
      </c>
      <c r="L142" s="654">
        <f t="shared" si="32"/>
        <v>47304.227022760941</v>
      </c>
      <c r="M142" s="656">
        <f t="shared" si="33"/>
        <v>2174669.5417840243</v>
      </c>
      <c r="N142" s="657">
        <f t="shared" si="39"/>
        <v>4371103.5091902213</v>
      </c>
      <c r="O142" s="589">
        <f t="shared" si="34"/>
        <v>164</v>
      </c>
      <c r="P142" s="654">
        <f t="shared" si="30"/>
        <v>44901.623509645258</v>
      </c>
      <c r="Q142" s="664">
        <f t="shared" si="31"/>
        <v>32773.839289577372</v>
      </c>
      <c r="R142" s="654">
        <f t="shared" si="35"/>
        <v>12127.784220067886</v>
      </c>
      <c r="S142" s="656">
        <f t="shared" si="36"/>
        <v>4903948.1092165373</v>
      </c>
      <c r="T142" s="657">
        <f t="shared" si="40"/>
        <v>5177305.7894200617</v>
      </c>
      <c r="V142" s="665">
        <f t="shared" si="41"/>
        <v>17215.761971827582</v>
      </c>
      <c r="W142" s="590">
        <f t="shared" si="37"/>
        <v>6105757.7222982133</v>
      </c>
      <c r="X142" s="589" t="b">
        <f t="shared" si="38"/>
        <v>1</v>
      </c>
    </row>
    <row r="143" spans="9:24" ht="16.5" hidden="1" customHeight="1">
      <c r="I143" s="589">
        <v>141</v>
      </c>
      <c r="J143" s="654">
        <f t="shared" si="28"/>
        <v>62117.38548147284</v>
      </c>
      <c r="K143" s="655">
        <f t="shared" si="29"/>
        <v>14497.79694522683</v>
      </c>
      <c r="L143" s="654">
        <f t="shared" si="32"/>
        <v>47619.58853624601</v>
      </c>
      <c r="M143" s="656">
        <f t="shared" si="33"/>
        <v>2127049.9532477781</v>
      </c>
      <c r="N143" s="657">
        <f t="shared" si="39"/>
        <v>4385601.3061354477</v>
      </c>
      <c r="O143" s="589">
        <f t="shared" si="34"/>
        <v>165</v>
      </c>
      <c r="P143" s="654">
        <f t="shared" si="30"/>
        <v>44901.623509645258</v>
      </c>
      <c r="Q143" s="664">
        <f t="shared" si="31"/>
        <v>32692.987394776919</v>
      </c>
      <c r="R143" s="654">
        <f t="shared" si="35"/>
        <v>12208.636114868339</v>
      </c>
      <c r="S143" s="656">
        <f t="shared" si="36"/>
        <v>4891739.473101669</v>
      </c>
      <c r="T143" s="657">
        <f t="shared" si="40"/>
        <v>5209998.7768148389</v>
      </c>
      <c r="V143" s="665">
        <f t="shared" si="41"/>
        <v>17215.761971827582</v>
      </c>
      <c r="W143" s="590">
        <f t="shared" si="37"/>
        <v>6194703.60994073</v>
      </c>
      <c r="X143" s="589" t="b">
        <f t="shared" si="38"/>
        <v>1</v>
      </c>
    </row>
    <row r="144" spans="9:24" ht="16.5" hidden="1" customHeight="1">
      <c r="I144" s="589">
        <v>142</v>
      </c>
      <c r="J144" s="654">
        <f t="shared" si="28"/>
        <v>62117.38548147284</v>
      </c>
      <c r="K144" s="655">
        <f t="shared" si="29"/>
        <v>14180.333021651855</v>
      </c>
      <c r="L144" s="654">
        <f t="shared" si="32"/>
        <v>47937.052459820989</v>
      </c>
      <c r="M144" s="656">
        <f t="shared" si="33"/>
        <v>2079112.900787957</v>
      </c>
      <c r="N144" s="657">
        <f t="shared" si="39"/>
        <v>4399781.6391570996</v>
      </c>
      <c r="O144" s="589">
        <f t="shared" si="34"/>
        <v>166</v>
      </c>
      <c r="P144" s="654">
        <f t="shared" si="30"/>
        <v>44901.623509645258</v>
      </c>
      <c r="Q144" s="664">
        <f t="shared" si="31"/>
        <v>32611.596487344461</v>
      </c>
      <c r="R144" s="654">
        <f t="shared" si="35"/>
        <v>12290.027022300797</v>
      </c>
      <c r="S144" s="656">
        <f t="shared" si="36"/>
        <v>4879449.4460793678</v>
      </c>
      <c r="T144" s="657">
        <f t="shared" si="40"/>
        <v>5242610.3733021831</v>
      </c>
      <c r="V144" s="665">
        <f t="shared" si="41"/>
        <v>17215.761971827582</v>
      </c>
      <c r="W144" s="590">
        <f t="shared" si="37"/>
        <v>6284691.4912673412</v>
      </c>
      <c r="X144" s="589" t="b">
        <f t="shared" si="38"/>
        <v>1</v>
      </c>
    </row>
    <row r="145" spans="9:24" ht="16.5" hidden="1" customHeight="1">
      <c r="I145" s="589">
        <v>143</v>
      </c>
      <c r="J145" s="654">
        <f t="shared" si="28"/>
        <v>62117.38548147284</v>
      </c>
      <c r="K145" s="655">
        <f t="shared" si="29"/>
        <v>13860.752671919714</v>
      </c>
      <c r="L145" s="654">
        <f t="shared" si="32"/>
        <v>48256.632809553128</v>
      </c>
      <c r="M145" s="656">
        <f t="shared" si="33"/>
        <v>2030856.267978404</v>
      </c>
      <c r="N145" s="657">
        <f t="shared" si="39"/>
        <v>4413642.3918290194</v>
      </c>
      <c r="O145" s="589">
        <f t="shared" si="34"/>
        <v>167</v>
      </c>
      <c r="P145" s="654">
        <f t="shared" si="30"/>
        <v>44901.623509645258</v>
      </c>
      <c r="Q145" s="664">
        <f t="shared" si="31"/>
        <v>32529.662973862454</v>
      </c>
      <c r="R145" s="654">
        <f t="shared" si="35"/>
        <v>12371.960535782804</v>
      </c>
      <c r="S145" s="656">
        <f t="shared" si="36"/>
        <v>4867077.4855435854</v>
      </c>
      <c r="T145" s="657">
        <f t="shared" si="40"/>
        <v>5275140.0362760453</v>
      </c>
      <c r="V145" s="665">
        <f t="shared" si="41"/>
        <v>17215.761971827582</v>
      </c>
      <c r="W145" s="590">
        <f t="shared" si="37"/>
        <v>6375733.5731474878</v>
      </c>
      <c r="X145" s="589" t="b">
        <f t="shared" si="38"/>
        <v>1</v>
      </c>
    </row>
    <row r="146" spans="9:24" ht="16.5" hidden="1" customHeight="1">
      <c r="I146" s="589">
        <v>144</v>
      </c>
      <c r="J146" s="654">
        <f t="shared" si="28"/>
        <v>62117.38548147284</v>
      </c>
      <c r="K146" s="655">
        <f t="shared" si="29"/>
        <v>13539.041786522694</v>
      </c>
      <c r="L146" s="654">
        <f t="shared" si="32"/>
        <v>48578.343694950148</v>
      </c>
      <c r="M146" s="656">
        <f t="shared" si="33"/>
        <v>1982277.9242834537</v>
      </c>
      <c r="N146" s="657">
        <f t="shared" si="39"/>
        <v>4427181.433615542</v>
      </c>
      <c r="O146" s="589">
        <f t="shared" si="34"/>
        <v>168</v>
      </c>
      <c r="P146" s="654">
        <f t="shared" si="30"/>
        <v>44901.623509645258</v>
      </c>
      <c r="Q146" s="664">
        <f t="shared" si="31"/>
        <v>32447.183236957237</v>
      </c>
      <c r="R146" s="654">
        <f t="shared" si="35"/>
        <v>12454.440272688022</v>
      </c>
      <c r="S146" s="656">
        <f t="shared" si="36"/>
        <v>4854623.0452708974</v>
      </c>
      <c r="T146" s="657">
        <f t="shared" si="40"/>
        <v>5307587.2195130028</v>
      </c>
      <c r="V146" s="665">
        <f t="shared" si="41"/>
        <v>17215.761971827582</v>
      </c>
      <c r="W146" s="590">
        <f t="shared" si="37"/>
        <v>6467842.2054530708</v>
      </c>
      <c r="X146" s="589" t="b">
        <f t="shared" si="38"/>
        <v>1</v>
      </c>
    </row>
    <row r="147" spans="9:24" ht="16.5" hidden="1" customHeight="1">
      <c r="I147" s="589">
        <v>145</v>
      </c>
      <c r="J147" s="654">
        <f t="shared" si="28"/>
        <v>62117.38548147284</v>
      </c>
      <c r="K147" s="655">
        <f t="shared" si="29"/>
        <v>13215.186161889693</v>
      </c>
      <c r="L147" s="654">
        <f t="shared" si="32"/>
        <v>48902.199319583146</v>
      </c>
      <c r="M147" s="656">
        <f t="shared" si="33"/>
        <v>1933375.7249638706</v>
      </c>
      <c r="N147" s="657">
        <f t="shared" si="39"/>
        <v>4440396.6197774317</v>
      </c>
      <c r="O147" s="589">
        <f t="shared" si="34"/>
        <v>169</v>
      </c>
      <c r="P147" s="654">
        <f t="shared" si="30"/>
        <v>44901.623509645258</v>
      </c>
      <c r="Q147" s="664">
        <f t="shared" si="31"/>
        <v>32364.153635139319</v>
      </c>
      <c r="R147" s="654">
        <f t="shared" si="35"/>
        <v>12537.46987450594</v>
      </c>
      <c r="S147" s="656">
        <f t="shared" si="36"/>
        <v>4842085.5753963916</v>
      </c>
      <c r="T147" s="657">
        <f t="shared" si="40"/>
        <v>5339951.3731481424</v>
      </c>
      <c r="V147" s="665">
        <f t="shared" si="41"/>
        <v>17215.761971827582</v>
      </c>
      <c r="W147" s="590">
        <f t="shared" si="37"/>
        <v>6561029.8827337148</v>
      </c>
      <c r="X147" s="589" t="b">
        <f t="shared" si="38"/>
        <v>1</v>
      </c>
    </row>
    <row r="148" spans="9:24" ht="16.5" hidden="1" customHeight="1">
      <c r="I148" s="589">
        <v>146</v>
      </c>
      <c r="J148" s="654">
        <f t="shared" si="28"/>
        <v>62117.38548147284</v>
      </c>
      <c r="K148" s="655">
        <f t="shared" si="29"/>
        <v>12889.171499759139</v>
      </c>
      <c r="L148" s="654">
        <f t="shared" si="32"/>
        <v>49228.213981713699</v>
      </c>
      <c r="M148" s="656">
        <f t="shared" si="33"/>
        <v>1884147.510982157</v>
      </c>
      <c r="N148" s="657">
        <f t="shared" si="39"/>
        <v>4453285.7912771907</v>
      </c>
      <c r="O148" s="589">
        <f t="shared" si="34"/>
        <v>170</v>
      </c>
      <c r="P148" s="654">
        <f t="shared" si="30"/>
        <v>44901.623509645258</v>
      </c>
      <c r="Q148" s="664">
        <f t="shared" si="31"/>
        <v>32280.570502642611</v>
      </c>
      <c r="R148" s="654">
        <f t="shared" si="35"/>
        <v>12621.053007002647</v>
      </c>
      <c r="S148" s="656">
        <f t="shared" si="36"/>
        <v>4829464.5223893886</v>
      </c>
      <c r="T148" s="657">
        <f t="shared" si="40"/>
        <v>5372231.9436507849</v>
      </c>
      <c r="V148" s="665">
        <f t="shared" si="41"/>
        <v>17215.761971827582</v>
      </c>
      <c r="W148" s="590">
        <f t="shared" si="37"/>
        <v>6655309.245911655</v>
      </c>
      <c r="X148" s="589" t="b">
        <f t="shared" si="38"/>
        <v>1</v>
      </c>
    </row>
    <row r="149" spans="9:24" ht="16.5" hidden="1" customHeight="1">
      <c r="I149" s="589">
        <v>147</v>
      </c>
      <c r="J149" s="654">
        <f t="shared" si="28"/>
        <v>62117.38548147284</v>
      </c>
      <c r="K149" s="655">
        <f t="shared" si="29"/>
        <v>12560.983406547713</v>
      </c>
      <c r="L149" s="654">
        <f t="shared" si="32"/>
        <v>49556.402074925129</v>
      </c>
      <c r="M149" s="656">
        <f t="shared" si="33"/>
        <v>1834591.1089072318</v>
      </c>
      <c r="N149" s="657">
        <f t="shared" si="39"/>
        <v>4465846.7746837381</v>
      </c>
      <c r="O149" s="589">
        <f t="shared" si="34"/>
        <v>171</v>
      </c>
      <c r="P149" s="654">
        <f t="shared" si="30"/>
        <v>44901.623509645258</v>
      </c>
      <c r="Q149" s="664">
        <f t="shared" si="31"/>
        <v>32196.430149262593</v>
      </c>
      <c r="R149" s="654">
        <f t="shared" si="35"/>
        <v>12705.193360382666</v>
      </c>
      <c r="S149" s="656">
        <f t="shared" si="36"/>
        <v>4816759.329029006</v>
      </c>
      <c r="T149" s="657">
        <f t="shared" si="40"/>
        <v>5404428.3738000477</v>
      </c>
      <c r="V149" s="665">
        <f t="shared" si="41"/>
        <v>17215.761971827582</v>
      </c>
      <c r="W149" s="590">
        <f t="shared" si="37"/>
        <v>6750693.0839964822</v>
      </c>
      <c r="X149" s="589" t="b">
        <f t="shared" si="38"/>
        <v>1</v>
      </c>
    </row>
    <row r="150" spans="9:24" ht="16.5" hidden="1" customHeight="1">
      <c r="I150" s="589">
        <v>148</v>
      </c>
      <c r="J150" s="654">
        <f t="shared" si="28"/>
        <v>62117.38548147284</v>
      </c>
      <c r="K150" s="655">
        <f t="shared" si="29"/>
        <v>12230.607392714879</v>
      </c>
      <c r="L150" s="654">
        <f t="shared" si="32"/>
        <v>49886.778088757957</v>
      </c>
      <c r="M150" s="656">
        <f t="shared" si="33"/>
        <v>1784704.3308184738</v>
      </c>
      <c r="N150" s="657">
        <f t="shared" si="39"/>
        <v>4478077.3820764534</v>
      </c>
      <c r="O150" s="589">
        <f t="shared" si="34"/>
        <v>172</v>
      </c>
      <c r="P150" s="654">
        <f t="shared" si="30"/>
        <v>44901.623509645258</v>
      </c>
      <c r="Q150" s="664">
        <f t="shared" si="31"/>
        <v>32111.728860193376</v>
      </c>
      <c r="R150" s="654">
        <f t="shared" si="35"/>
        <v>12789.894649451882</v>
      </c>
      <c r="S150" s="656">
        <f t="shared" si="36"/>
        <v>4803969.4343795544</v>
      </c>
      <c r="T150" s="657">
        <f t="shared" si="40"/>
        <v>5436540.1026602406</v>
      </c>
      <c r="V150" s="665">
        <f t="shared" si="41"/>
        <v>17215.761971827582</v>
      </c>
      <c r="W150" s="590">
        <f t="shared" si="37"/>
        <v>6847194.3358199699</v>
      </c>
      <c r="X150" s="589" t="b">
        <f t="shared" si="38"/>
        <v>1</v>
      </c>
    </row>
    <row r="151" spans="9:24" ht="16.5" hidden="1" customHeight="1">
      <c r="I151" s="589">
        <v>149</v>
      </c>
      <c r="J151" s="654">
        <f t="shared" si="28"/>
        <v>62117.38548147284</v>
      </c>
      <c r="K151" s="655">
        <f t="shared" si="29"/>
        <v>11898.028872123159</v>
      </c>
      <c r="L151" s="654">
        <f t="shared" si="32"/>
        <v>50219.356609349677</v>
      </c>
      <c r="M151" s="656">
        <f t="shared" si="33"/>
        <v>1734484.9742091242</v>
      </c>
      <c r="N151" s="657">
        <f t="shared" si="39"/>
        <v>4489975.4109485764</v>
      </c>
      <c r="O151" s="589">
        <f t="shared" si="34"/>
        <v>173</v>
      </c>
      <c r="P151" s="654">
        <f t="shared" si="30"/>
        <v>44901.623509645258</v>
      </c>
      <c r="Q151" s="664">
        <f t="shared" si="31"/>
        <v>32026.462895863697</v>
      </c>
      <c r="R151" s="654">
        <f t="shared" si="35"/>
        <v>12875.160613781562</v>
      </c>
      <c r="S151" s="656">
        <f t="shared" si="36"/>
        <v>4791094.2737657726</v>
      </c>
      <c r="T151" s="657">
        <f t="shared" si="40"/>
        <v>5468566.5655561043</v>
      </c>
      <c r="V151" s="665">
        <f t="shared" si="41"/>
        <v>17215.761971827582</v>
      </c>
      <c r="W151" s="590">
        <f t="shared" si="37"/>
        <v>6944826.0917912312</v>
      </c>
      <c r="X151" s="589" t="b">
        <f t="shared" si="38"/>
        <v>1</v>
      </c>
    </row>
    <row r="152" spans="9:24" ht="16.5" hidden="1" customHeight="1">
      <c r="I152" s="589">
        <v>150</v>
      </c>
      <c r="J152" s="654">
        <f t="shared" si="28"/>
        <v>62117.38548147284</v>
      </c>
      <c r="K152" s="655">
        <f t="shared" si="29"/>
        <v>11563.233161394162</v>
      </c>
      <c r="L152" s="654">
        <f t="shared" si="32"/>
        <v>50554.152320078676</v>
      </c>
      <c r="M152" s="656">
        <f t="shared" si="33"/>
        <v>1683930.8218890456</v>
      </c>
      <c r="N152" s="657">
        <f t="shared" si="39"/>
        <v>4501538.6441099709</v>
      </c>
      <c r="O152" s="589">
        <f t="shared" si="34"/>
        <v>174</v>
      </c>
      <c r="P152" s="654">
        <f t="shared" si="30"/>
        <v>44901.623509645258</v>
      </c>
      <c r="Q152" s="664">
        <f t="shared" si="31"/>
        <v>31940.628491771819</v>
      </c>
      <c r="R152" s="654">
        <f t="shared" si="35"/>
        <v>12960.99501787344</v>
      </c>
      <c r="S152" s="656">
        <f t="shared" si="36"/>
        <v>4778133.2787478995</v>
      </c>
      <c r="T152" s="657">
        <f t="shared" si="40"/>
        <v>5500507.1940478757</v>
      </c>
      <c r="V152" s="665">
        <f t="shared" si="41"/>
        <v>17215.761971827582</v>
      </c>
      <c r="W152" s="590">
        <f t="shared" si="37"/>
        <v>7043601.5956724351</v>
      </c>
      <c r="X152" s="589" t="b">
        <f t="shared" si="38"/>
        <v>1</v>
      </c>
    </row>
    <row r="153" spans="9:24" ht="16.5" hidden="1" customHeight="1">
      <c r="I153" s="589">
        <v>151</v>
      </c>
      <c r="J153" s="654">
        <f t="shared" si="28"/>
        <v>62117.38548147284</v>
      </c>
      <c r="K153" s="655">
        <f t="shared" si="29"/>
        <v>11226.205479260305</v>
      </c>
      <c r="L153" s="654">
        <f t="shared" si="32"/>
        <v>50891.180002212539</v>
      </c>
      <c r="M153" s="656">
        <f t="shared" si="33"/>
        <v>1633039.6418868331</v>
      </c>
      <c r="N153" s="657">
        <f t="shared" si="39"/>
        <v>4512764.8495892314</v>
      </c>
      <c r="O153" s="589">
        <f t="shared" si="34"/>
        <v>175</v>
      </c>
      <c r="P153" s="654">
        <f t="shared" si="30"/>
        <v>44901.623509645258</v>
      </c>
      <c r="Q153" s="664">
        <f t="shared" si="31"/>
        <v>31854.221858319332</v>
      </c>
      <c r="R153" s="654">
        <f t="shared" si="35"/>
        <v>13047.401651325927</v>
      </c>
      <c r="S153" s="656">
        <f t="shared" si="36"/>
        <v>4765085.8770965738</v>
      </c>
      <c r="T153" s="657">
        <f t="shared" si="40"/>
        <v>5532361.4159061946</v>
      </c>
      <c r="V153" s="665">
        <f t="shared" si="41"/>
        <v>17215.761971827582</v>
      </c>
      <c r="W153" s="590">
        <f t="shared" si="37"/>
        <v>7143534.2463753242</v>
      </c>
      <c r="X153" s="589" t="b">
        <f t="shared" si="38"/>
        <v>1</v>
      </c>
    </row>
    <row r="154" spans="9:24" ht="16.5" hidden="1" customHeight="1">
      <c r="I154" s="589">
        <v>152</v>
      </c>
      <c r="J154" s="654">
        <f t="shared" si="28"/>
        <v>62117.38548147284</v>
      </c>
      <c r="K154" s="655">
        <f t="shared" si="29"/>
        <v>10886.930945912221</v>
      </c>
      <c r="L154" s="654">
        <f t="shared" si="32"/>
        <v>51230.454535560617</v>
      </c>
      <c r="M154" s="656">
        <f t="shared" si="33"/>
        <v>1581809.1873512724</v>
      </c>
      <c r="N154" s="657">
        <f t="shared" si="39"/>
        <v>4523651.7805351438</v>
      </c>
      <c r="O154" s="589">
        <f t="shared" si="34"/>
        <v>176</v>
      </c>
      <c r="P154" s="654">
        <f t="shared" si="30"/>
        <v>44901.623509645258</v>
      </c>
      <c r="Q154" s="664">
        <f t="shared" si="31"/>
        <v>31767.239180643828</v>
      </c>
      <c r="R154" s="654">
        <f t="shared" si="35"/>
        <v>13134.38432900143</v>
      </c>
      <c r="S154" s="656">
        <f t="shared" si="36"/>
        <v>4751951.4927675724</v>
      </c>
      <c r="T154" s="657">
        <f t="shared" si="40"/>
        <v>5564128.6550868386</v>
      </c>
      <c r="V154" s="665">
        <f t="shared" si="41"/>
        <v>17215.761971827582</v>
      </c>
      <c r="W154" s="590">
        <f t="shared" si="37"/>
        <v>7244637.5997787789</v>
      </c>
      <c r="X154" s="589" t="b">
        <f t="shared" si="38"/>
        <v>1</v>
      </c>
    </row>
    <row r="155" spans="9:24" ht="16.5" hidden="1" customHeight="1">
      <c r="I155" s="589">
        <v>153</v>
      </c>
      <c r="J155" s="654">
        <f t="shared" si="28"/>
        <v>62117.38548147284</v>
      </c>
      <c r="K155" s="655">
        <f t="shared" si="29"/>
        <v>10545.394582341816</v>
      </c>
      <c r="L155" s="654">
        <f t="shared" si="32"/>
        <v>51571.990899131022</v>
      </c>
      <c r="M155" s="656">
        <f t="shared" si="33"/>
        <v>1530237.1964521415</v>
      </c>
      <c r="N155" s="657">
        <f t="shared" si="39"/>
        <v>4534197.1751174852</v>
      </c>
      <c r="O155" s="589">
        <f t="shared" si="34"/>
        <v>177</v>
      </c>
      <c r="P155" s="654">
        <f t="shared" si="30"/>
        <v>44901.623509645258</v>
      </c>
      <c r="Q155" s="664">
        <f t="shared" si="31"/>
        <v>31679.676618450485</v>
      </c>
      <c r="R155" s="654">
        <f t="shared" si="35"/>
        <v>13221.946891194773</v>
      </c>
      <c r="S155" s="656">
        <f t="shared" si="36"/>
        <v>4738729.5458763773</v>
      </c>
      <c r="T155" s="657">
        <f t="shared" si="40"/>
        <v>5595808.331705289</v>
      </c>
      <c r="V155" s="665">
        <f t="shared" si="41"/>
        <v>17215.761971827582</v>
      </c>
      <c r="W155" s="590">
        <f t="shared" si="37"/>
        <v>7346925.3705676729</v>
      </c>
      <c r="X155" s="589" t="b">
        <f t="shared" si="38"/>
        <v>1</v>
      </c>
    </row>
    <row r="156" spans="9:24" ht="16.5" hidden="1" customHeight="1">
      <c r="I156" s="589">
        <v>154</v>
      </c>
      <c r="J156" s="654">
        <f t="shared" si="28"/>
        <v>62117.38548147284</v>
      </c>
      <c r="K156" s="655">
        <f t="shared" si="29"/>
        <v>10201.581309680943</v>
      </c>
      <c r="L156" s="654">
        <f t="shared" si="32"/>
        <v>51915.804171791897</v>
      </c>
      <c r="M156" s="656">
        <f t="shared" si="33"/>
        <v>1478321.3922803495</v>
      </c>
      <c r="N156" s="657">
        <f t="shared" si="39"/>
        <v>4544398.7564271661</v>
      </c>
      <c r="O156" s="589">
        <f t="shared" si="34"/>
        <v>178</v>
      </c>
      <c r="P156" s="654">
        <f t="shared" si="30"/>
        <v>44901.623509645258</v>
      </c>
      <c r="Q156" s="664">
        <f t="shared" si="31"/>
        <v>31591.530305842516</v>
      </c>
      <c r="R156" s="654">
        <f t="shared" si="35"/>
        <v>13310.093203802742</v>
      </c>
      <c r="S156" s="656">
        <f t="shared" si="36"/>
        <v>4725419.4526725747</v>
      </c>
      <c r="T156" s="657">
        <f t="shared" si="40"/>
        <v>5627399.8620111318</v>
      </c>
      <c r="V156" s="665">
        <f t="shared" si="41"/>
        <v>17215.761971827582</v>
      </c>
      <c r="W156" s="590">
        <f t="shared" si="37"/>
        <v>7450411.434093276</v>
      </c>
      <c r="X156" s="589" t="b">
        <f t="shared" si="38"/>
        <v>1</v>
      </c>
    </row>
    <row r="157" spans="9:24" ht="16.5" hidden="1" customHeight="1">
      <c r="I157" s="589">
        <v>155</v>
      </c>
      <c r="J157" s="654">
        <f t="shared" si="28"/>
        <v>62117.38548147284</v>
      </c>
      <c r="K157" s="655">
        <f t="shared" si="29"/>
        <v>9855.4759485356644</v>
      </c>
      <c r="L157" s="654">
        <f t="shared" si="32"/>
        <v>52261.909532937178</v>
      </c>
      <c r="M157" s="656">
        <f t="shared" si="33"/>
        <v>1426059.4827474123</v>
      </c>
      <c r="N157" s="657">
        <f t="shared" si="39"/>
        <v>4554254.2323757019</v>
      </c>
      <c r="O157" s="589">
        <f t="shared" si="34"/>
        <v>179</v>
      </c>
      <c r="P157" s="654">
        <f t="shared" si="30"/>
        <v>44901.623509645258</v>
      </c>
      <c r="Q157" s="664">
        <f t="shared" si="31"/>
        <v>31502.7963511505</v>
      </c>
      <c r="R157" s="654">
        <f t="shared" si="35"/>
        <v>13398.827158494758</v>
      </c>
      <c r="S157" s="656">
        <f t="shared" si="36"/>
        <v>4712020.6255140798</v>
      </c>
      <c r="T157" s="657">
        <f t="shared" si="40"/>
        <v>5658902.6583622824</v>
      </c>
      <c r="V157" s="665">
        <f t="shared" si="41"/>
        <v>17215.761971827582</v>
      </c>
      <c r="W157" s="590">
        <f t="shared" si="37"/>
        <v>7555109.8282554438</v>
      </c>
      <c r="X157" s="589" t="b">
        <f t="shared" si="38"/>
        <v>1</v>
      </c>
    </row>
    <row r="158" spans="9:24" ht="16.5" hidden="1" customHeight="1">
      <c r="I158" s="589">
        <v>156</v>
      </c>
      <c r="J158" s="654">
        <f t="shared" si="28"/>
        <v>62117.38548147284</v>
      </c>
      <c r="K158" s="655">
        <f t="shared" si="29"/>
        <v>9507.0632183160833</v>
      </c>
      <c r="L158" s="654">
        <f t="shared" si="32"/>
        <v>52610.322263156755</v>
      </c>
      <c r="M158" s="656">
        <f t="shared" si="33"/>
        <v>1373449.1604842555</v>
      </c>
      <c r="N158" s="657">
        <f t="shared" si="39"/>
        <v>4563761.295594018</v>
      </c>
      <c r="O158" s="589">
        <f t="shared" si="34"/>
        <v>180</v>
      </c>
      <c r="P158" s="654">
        <f t="shared" si="30"/>
        <v>44901.623509645258</v>
      </c>
      <c r="Q158" s="664">
        <f t="shared" si="31"/>
        <v>31413.470836760534</v>
      </c>
      <c r="R158" s="654">
        <f t="shared" si="35"/>
        <v>13488.152672884724</v>
      </c>
      <c r="S158" s="656">
        <f t="shared" si="36"/>
        <v>4698532.4728411948</v>
      </c>
      <c r="T158" s="657">
        <f t="shared" si="40"/>
        <v>5690316.1291990429</v>
      </c>
      <c r="V158" s="665">
        <f t="shared" si="41"/>
        <v>17215.761971827582</v>
      </c>
      <c r="W158" s="590">
        <f t="shared" si="37"/>
        <v>7661034.755406864</v>
      </c>
      <c r="X158" s="589" t="b">
        <f t="shared" si="38"/>
        <v>1</v>
      </c>
    </row>
    <row r="159" spans="9:24" ht="16.5" hidden="1" customHeight="1">
      <c r="I159" s="589">
        <v>157</v>
      </c>
      <c r="J159" s="654">
        <f t="shared" si="28"/>
        <v>62117.38548147284</v>
      </c>
      <c r="K159" s="655">
        <f t="shared" si="29"/>
        <v>9156.3277365617032</v>
      </c>
      <c r="L159" s="654">
        <f t="shared" si="32"/>
        <v>52961.057744911137</v>
      </c>
      <c r="M159" s="656">
        <f t="shared" si="33"/>
        <v>1320488.1027393444</v>
      </c>
      <c r="N159" s="657">
        <f t="shared" si="39"/>
        <v>4572917.6233305801</v>
      </c>
      <c r="O159" s="589">
        <f t="shared" si="34"/>
        <v>181</v>
      </c>
      <c r="P159" s="654">
        <f t="shared" si="30"/>
        <v>44901.623509645258</v>
      </c>
      <c r="Q159" s="664">
        <f t="shared" si="31"/>
        <v>31323.549818941301</v>
      </c>
      <c r="R159" s="654">
        <f t="shared" si="35"/>
        <v>13578.073690703957</v>
      </c>
      <c r="S159" s="656">
        <f t="shared" si="36"/>
        <v>4684954.3991504908</v>
      </c>
      <c r="T159" s="657">
        <f t="shared" si="40"/>
        <v>5721639.6790179843</v>
      </c>
      <c r="V159" s="665">
        <f t="shared" si="41"/>
        <v>17215.761971827582</v>
      </c>
      <c r="W159" s="590">
        <f t="shared" si="37"/>
        <v>7768200.5842796043</v>
      </c>
      <c r="X159" s="589" t="b">
        <f t="shared" si="38"/>
        <v>1</v>
      </c>
    </row>
    <row r="160" spans="9:24" ht="16.5" hidden="1" customHeight="1">
      <c r="I160" s="589">
        <v>158</v>
      </c>
      <c r="J160" s="654">
        <f t="shared" si="28"/>
        <v>62117.38548147284</v>
      </c>
      <c r="K160" s="655">
        <f t="shared" si="29"/>
        <v>8803.2540182622961</v>
      </c>
      <c r="L160" s="654">
        <f t="shared" si="32"/>
        <v>53314.131463210542</v>
      </c>
      <c r="M160" s="656">
        <f t="shared" si="33"/>
        <v>1267173.9712761338</v>
      </c>
      <c r="N160" s="657">
        <f t="shared" si="39"/>
        <v>4581720.8773488421</v>
      </c>
      <c r="O160" s="589">
        <f t="shared" si="34"/>
        <v>182</v>
      </c>
      <c r="P160" s="654">
        <f t="shared" si="30"/>
        <v>44901.623509645258</v>
      </c>
      <c r="Q160" s="664">
        <f t="shared" si="31"/>
        <v>31233.029327669941</v>
      </c>
      <c r="R160" s="654">
        <f t="shared" si="35"/>
        <v>13668.594181975317</v>
      </c>
      <c r="S160" s="656">
        <f t="shared" si="36"/>
        <v>4671285.8049685154</v>
      </c>
      <c r="T160" s="657">
        <f t="shared" si="40"/>
        <v>5752872.7083456544</v>
      </c>
      <c r="V160" s="665">
        <f t="shared" si="41"/>
        <v>17215.761971827582</v>
      </c>
      <c r="W160" s="590">
        <f t="shared" si="37"/>
        <v>7876621.8519342365</v>
      </c>
      <c r="X160" s="589" t="b">
        <f t="shared" si="38"/>
        <v>1</v>
      </c>
    </row>
    <row r="161" spans="9:24" ht="16.5" hidden="1" customHeight="1">
      <c r="I161" s="589">
        <v>159</v>
      </c>
      <c r="J161" s="654">
        <f t="shared" si="28"/>
        <v>62117.38548147284</v>
      </c>
      <c r="K161" s="655">
        <f t="shared" si="29"/>
        <v>8447.8264751742263</v>
      </c>
      <c r="L161" s="654">
        <f t="shared" si="32"/>
        <v>53669.559006298616</v>
      </c>
      <c r="M161" s="656">
        <f t="shared" si="33"/>
        <v>1213504.4122698351</v>
      </c>
      <c r="N161" s="657">
        <f t="shared" si="39"/>
        <v>4590168.7038240163</v>
      </c>
      <c r="O161" s="589">
        <f t="shared" si="34"/>
        <v>183</v>
      </c>
      <c r="P161" s="654">
        <f t="shared" si="30"/>
        <v>44901.623509645258</v>
      </c>
      <c r="Q161" s="664">
        <f t="shared" si="31"/>
        <v>31141.905366456773</v>
      </c>
      <c r="R161" s="654">
        <f t="shared" si="35"/>
        <v>13759.718143188486</v>
      </c>
      <c r="S161" s="656">
        <f t="shared" si="36"/>
        <v>4657526.086825327</v>
      </c>
      <c r="T161" s="657">
        <f t="shared" si="40"/>
        <v>5784014.6137121115</v>
      </c>
      <c r="V161" s="665">
        <f t="shared" si="41"/>
        <v>17215.761971827582</v>
      </c>
      <c r="W161" s="590">
        <f t="shared" si="37"/>
        <v>7986313.2657317873</v>
      </c>
      <c r="X161" s="589" t="b">
        <f t="shared" si="38"/>
        <v>1</v>
      </c>
    </row>
    <row r="162" spans="9:24" ht="16.5" hidden="1" customHeight="1">
      <c r="I162" s="589">
        <v>160</v>
      </c>
      <c r="J162" s="654">
        <f t="shared" si="28"/>
        <v>62117.38548147284</v>
      </c>
      <c r="K162" s="655">
        <f t="shared" si="29"/>
        <v>8090.029415132235</v>
      </c>
      <c r="L162" s="654">
        <f t="shared" si="32"/>
        <v>54027.356066340602</v>
      </c>
      <c r="M162" s="656">
        <f t="shared" si="33"/>
        <v>1159477.0562034945</v>
      </c>
      <c r="N162" s="657">
        <f t="shared" si="39"/>
        <v>4598258.7332391487</v>
      </c>
      <c r="O162" s="589">
        <f t="shared" si="34"/>
        <v>184</v>
      </c>
      <c r="P162" s="654">
        <f t="shared" si="30"/>
        <v>44901.623509645258</v>
      </c>
      <c r="Q162" s="664">
        <f t="shared" si="31"/>
        <v>31050.173912168848</v>
      </c>
      <c r="R162" s="654">
        <f t="shared" si="35"/>
        <v>13851.44959747641</v>
      </c>
      <c r="S162" s="656">
        <f t="shared" si="36"/>
        <v>4643674.637227851</v>
      </c>
      <c r="T162" s="657">
        <f t="shared" si="40"/>
        <v>5815064.78762428</v>
      </c>
      <c r="V162" s="665">
        <f t="shared" si="41"/>
        <v>17215.761971827582</v>
      </c>
      <c r="W162" s="590">
        <f t="shared" si="37"/>
        <v>8097289.7053287979</v>
      </c>
      <c r="X162" s="589" t="b">
        <f t="shared" si="38"/>
        <v>1</v>
      </c>
    </row>
    <row r="163" spans="9:24" ht="16.5" hidden="1" customHeight="1">
      <c r="I163" s="589">
        <v>161</v>
      </c>
      <c r="J163" s="654">
        <f t="shared" si="28"/>
        <v>62117.38548147284</v>
      </c>
      <c r="K163" s="655">
        <f t="shared" si="29"/>
        <v>7729.8470413566311</v>
      </c>
      <c r="L163" s="654">
        <f t="shared" si="32"/>
        <v>54387.538440116208</v>
      </c>
      <c r="M163" s="656">
        <f t="shared" si="33"/>
        <v>1105089.5177633783</v>
      </c>
      <c r="N163" s="657">
        <f t="shared" si="39"/>
        <v>4605988.5802805051</v>
      </c>
      <c r="O163" s="589">
        <f t="shared" si="34"/>
        <v>185</v>
      </c>
      <c r="P163" s="654">
        <f t="shared" si="30"/>
        <v>44901.623509645258</v>
      </c>
      <c r="Q163" s="664">
        <f t="shared" si="31"/>
        <v>30957.83091485234</v>
      </c>
      <c r="R163" s="654">
        <f t="shared" si="35"/>
        <v>13943.792594792918</v>
      </c>
      <c r="S163" s="656">
        <f t="shared" si="36"/>
        <v>4629730.8446330577</v>
      </c>
      <c r="T163" s="657">
        <f t="shared" si="40"/>
        <v>5846022.6185391322</v>
      </c>
      <c r="V163" s="665">
        <f t="shared" si="41"/>
        <v>17215.761971827582</v>
      </c>
      <c r="W163" s="590">
        <f t="shared" si="37"/>
        <v>8209566.2246957486</v>
      </c>
      <c r="X163" s="589" t="b">
        <f t="shared" si="38"/>
        <v>1</v>
      </c>
    </row>
    <row r="164" spans="9:24" ht="16.5" hidden="1" customHeight="1">
      <c r="I164" s="589">
        <v>162</v>
      </c>
      <c r="J164" s="654">
        <f t="shared" si="28"/>
        <v>62117.38548147284</v>
      </c>
      <c r="K164" s="655">
        <f t="shared" si="29"/>
        <v>7367.2634517558563</v>
      </c>
      <c r="L164" s="654">
        <f t="shared" si="32"/>
        <v>54750.122029716986</v>
      </c>
      <c r="M164" s="656">
        <f t="shared" si="33"/>
        <v>1050339.3957336613</v>
      </c>
      <c r="N164" s="657">
        <f t="shared" si="39"/>
        <v>4613355.8437322611</v>
      </c>
      <c r="O164" s="589">
        <f t="shared" si="34"/>
        <v>186</v>
      </c>
      <c r="P164" s="654">
        <f t="shared" si="30"/>
        <v>44901.623509645258</v>
      </c>
      <c r="Q164" s="664">
        <f t="shared" si="31"/>
        <v>30864.87229755372</v>
      </c>
      <c r="R164" s="654">
        <f t="shared" si="35"/>
        <v>14036.751212091538</v>
      </c>
      <c r="S164" s="656">
        <f t="shared" si="36"/>
        <v>4615694.0934209665</v>
      </c>
      <c r="T164" s="657">
        <f t="shared" si="40"/>
        <v>5876887.4908366855</v>
      </c>
      <c r="V164" s="665">
        <f t="shared" si="41"/>
        <v>17215.761971827582</v>
      </c>
      <c r="W164" s="590">
        <f t="shared" si="37"/>
        <v>8323158.0541591337</v>
      </c>
      <c r="X164" s="589" t="b">
        <f t="shared" si="38"/>
        <v>1</v>
      </c>
    </row>
    <row r="165" spans="9:24" ht="16.5" hidden="1" customHeight="1">
      <c r="I165" s="589">
        <v>163</v>
      </c>
      <c r="J165" s="654">
        <f t="shared" si="28"/>
        <v>62117.38548147284</v>
      </c>
      <c r="K165" s="655">
        <f t="shared" si="29"/>
        <v>7002.2626382244089</v>
      </c>
      <c r="L165" s="654">
        <f t="shared" si="32"/>
        <v>55115.122843248435</v>
      </c>
      <c r="M165" s="656">
        <f t="shared" si="33"/>
        <v>995224.27289041283</v>
      </c>
      <c r="N165" s="657">
        <f t="shared" si="39"/>
        <v>4620358.1063704854</v>
      </c>
      <c r="O165" s="589">
        <f t="shared" si="34"/>
        <v>187</v>
      </c>
      <c r="P165" s="654">
        <f t="shared" si="30"/>
        <v>44901.623509645258</v>
      </c>
      <c r="Q165" s="664">
        <f t="shared" si="31"/>
        <v>30771.29395613978</v>
      </c>
      <c r="R165" s="654">
        <f t="shared" si="35"/>
        <v>14130.329553505479</v>
      </c>
      <c r="S165" s="656">
        <f t="shared" si="36"/>
        <v>4601563.7638674611</v>
      </c>
      <c r="T165" s="657">
        <f t="shared" si="40"/>
        <v>5907658.7847928256</v>
      </c>
      <c r="V165" s="665">
        <f t="shared" si="41"/>
        <v>17215.761971827582</v>
      </c>
      <c r="W165" s="590">
        <f t="shared" si="37"/>
        <v>8438080.602467455</v>
      </c>
      <c r="X165" s="589" t="b">
        <f t="shared" si="38"/>
        <v>1</v>
      </c>
    </row>
    <row r="166" spans="9:24" ht="16.5" hidden="1" customHeight="1">
      <c r="I166" s="589">
        <v>164</v>
      </c>
      <c r="J166" s="654">
        <f t="shared" si="28"/>
        <v>62117.38548147284</v>
      </c>
      <c r="K166" s="655">
        <f t="shared" si="29"/>
        <v>6634.8284859360856</v>
      </c>
      <c r="L166" s="654">
        <f t="shared" si="32"/>
        <v>55482.556995536754</v>
      </c>
      <c r="M166" s="656">
        <f t="shared" si="33"/>
        <v>939741.71589487605</v>
      </c>
      <c r="N166" s="657">
        <f t="shared" si="39"/>
        <v>4626992.9348564213</v>
      </c>
      <c r="O166" s="589">
        <f t="shared" si="34"/>
        <v>188</v>
      </c>
      <c r="P166" s="654">
        <f t="shared" si="30"/>
        <v>44901.623509645258</v>
      </c>
      <c r="Q166" s="664">
        <f t="shared" si="31"/>
        <v>30677.091759116411</v>
      </c>
      <c r="R166" s="654">
        <f t="shared" si="35"/>
        <v>14224.531750528848</v>
      </c>
      <c r="S166" s="656">
        <f t="shared" si="36"/>
        <v>4587339.232116932</v>
      </c>
      <c r="T166" s="657">
        <f t="shared" si="40"/>
        <v>5938335.876551942</v>
      </c>
      <c r="V166" s="665">
        <f t="shared" si="41"/>
        <v>17215.761971827582</v>
      </c>
      <c r="W166" s="590">
        <f t="shared" si="37"/>
        <v>8554349.4588814266</v>
      </c>
      <c r="X166" s="589" t="b">
        <f t="shared" si="38"/>
        <v>1</v>
      </c>
    </row>
    <row r="167" spans="9:24" ht="16.5" hidden="1" customHeight="1">
      <c r="I167" s="589">
        <v>165</v>
      </c>
      <c r="J167" s="654">
        <f t="shared" si="28"/>
        <v>62117.38548147284</v>
      </c>
      <c r="K167" s="655">
        <f t="shared" si="29"/>
        <v>6264.944772632507</v>
      </c>
      <c r="L167" s="654">
        <f t="shared" si="32"/>
        <v>55852.440708840331</v>
      </c>
      <c r="M167" s="656">
        <f t="shared" si="33"/>
        <v>883889.27518603567</v>
      </c>
      <c r="N167" s="657">
        <f t="shared" si="39"/>
        <v>4633257.8796290541</v>
      </c>
      <c r="O167" s="589">
        <f t="shared" si="34"/>
        <v>189</v>
      </c>
      <c r="P167" s="654">
        <f t="shared" si="30"/>
        <v>44901.623509645258</v>
      </c>
      <c r="Q167" s="664">
        <f t="shared" si="31"/>
        <v>30582.261547446215</v>
      </c>
      <c r="R167" s="654">
        <f t="shared" si="35"/>
        <v>14319.361962199044</v>
      </c>
      <c r="S167" s="656">
        <f t="shared" si="36"/>
        <v>4573019.8701547328</v>
      </c>
      <c r="T167" s="657">
        <f t="shared" si="40"/>
        <v>5968918.1380993882</v>
      </c>
      <c r="V167" s="665">
        <f t="shared" si="41"/>
        <v>17215.761971827582</v>
      </c>
      <c r="W167" s="590">
        <f t="shared" si="37"/>
        <v>8671980.3952886537</v>
      </c>
      <c r="X167" s="589" t="b">
        <f t="shared" si="38"/>
        <v>1</v>
      </c>
    </row>
    <row r="168" spans="9:24" ht="16.5" hidden="1" customHeight="1">
      <c r="I168" s="589">
        <v>166</v>
      </c>
      <c r="J168" s="654">
        <f t="shared" si="28"/>
        <v>62117.38548147284</v>
      </c>
      <c r="K168" s="655">
        <f t="shared" si="29"/>
        <v>5892.5951679069049</v>
      </c>
      <c r="L168" s="654">
        <f t="shared" si="32"/>
        <v>56224.790313565936</v>
      </c>
      <c r="M168" s="656">
        <f t="shared" si="33"/>
        <v>827664.48487246968</v>
      </c>
      <c r="N168" s="657">
        <f t="shared" si="39"/>
        <v>4639150.4747969611</v>
      </c>
      <c r="O168" s="589">
        <f t="shared" si="34"/>
        <v>190</v>
      </c>
      <c r="P168" s="654">
        <f t="shared" si="30"/>
        <v>44901.623509645258</v>
      </c>
      <c r="Q168" s="664">
        <f t="shared" si="31"/>
        <v>30486.799134364886</v>
      </c>
      <c r="R168" s="654">
        <f t="shared" si="35"/>
        <v>14414.824375280372</v>
      </c>
      <c r="S168" s="656">
        <f t="shared" si="36"/>
        <v>4558605.0457794527</v>
      </c>
      <c r="T168" s="657">
        <f t="shared" si="40"/>
        <v>5999404.9372337535</v>
      </c>
      <c r="V168" s="665">
        <f t="shared" si="41"/>
        <v>17215.761971827582</v>
      </c>
      <c r="W168" s="590">
        <f t="shared" si="37"/>
        <v>8790989.3683430962</v>
      </c>
      <c r="X168" s="589" t="b">
        <f t="shared" si="38"/>
        <v>1</v>
      </c>
    </row>
    <row r="169" spans="9:24" ht="16.5" hidden="1" customHeight="1">
      <c r="I169" s="589">
        <v>167</v>
      </c>
      <c r="J169" s="654">
        <f t="shared" si="28"/>
        <v>62117.38548147284</v>
      </c>
      <c r="K169" s="655">
        <f t="shared" si="29"/>
        <v>5517.7632324831311</v>
      </c>
      <c r="L169" s="654">
        <f t="shared" si="32"/>
        <v>56599.622248989712</v>
      </c>
      <c r="M169" s="656">
        <f t="shared" si="33"/>
        <v>771064.86262347992</v>
      </c>
      <c r="N169" s="657">
        <f t="shared" si="39"/>
        <v>4644668.2380294446</v>
      </c>
      <c r="O169" s="589">
        <f t="shared" si="34"/>
        <v>191</v>
      </c>
      <c r="P169" s="654">
        <f t="shared" si="30"/>
        <v>44901.623509645258</v>
      </c>
      <c r="Q169" s="664">
        <f t="shared" si="31"/>
        <v>30390.700305196355</v>
      </c>
      <c r="R169" s="654">
        <f t="shared" si="35"/>
        <v>14510.923204448904</v>
      </c>
      <c r="S169" s="656">
        <f t="shared" si="36"/>
        <v>4544094.1225750037</v>
      </c>
      <c r="T169" s="657">
        <f t="shared" si="40"/>
        <v>6029795.63753895</v>
      </c>
      <c r="V169" s="665">
        <f t="shared" si="41"/>
        <v>17215.761971827582</v>
      </c>
      <c r="W169" s="590">
        <f t="shared" si="37"/>
        <v>8911392.5216295887</v>
      </c>
      <c r="X169" s="589" t="b">
        <f t="shared" si="38"/>
        <v>1</v>
      </c>
    </row>
    <row r="170" spans="9:24" ht="16.5" hidden="1" customHeight="1">
      <c r="I170" s="589">
        <v>168</v>
      </c>
      <c r="J170" s="654">
        <f t="shared" si="28"/>
        <v>62117.38548147284</v>
      </c>
      <c r="K170" s="655">
        <f t="shared" si="29"/>
        <v>5140.4324174898666</v>
      </c>
      <c r="L170" s="654">
        <f t="shared" si="32"/>
        <v>56976.953063982975</v>
      </c>
      <c r="M170" s="656">
        <f t="shared" si="33"/>
        <v>714087.90955949691</v>
      </c>
      <c r="N170" s="657">
        <f t="shared" si="39"/>
        <v>4649808.6704469342</v>
      </c>
      <c r="O170" s="589">
        <f t="shared" si="34"/>
        <v>192</v>
      </c>
      <c r="P170" s="654">
        <f t="shared" si="30"/>
        <v>44901.623509645258</v>
      </c>
      <c r="Q170" s="664">
        <f t="shared" si="31"/>
        <v>30293.960817166691</v>
      </c>
      <c r="R170" s="654">
        <f t="shared" si="35"/>
        <v>14607.662692478567</v>
      </c>
      <c r="S170" s="656">
        <f t="shared" si="36"/>
        <v>4529486.4598825248</v>
      </c>
      <c r="T170" s="657">
        <f t="shared" si="40"/>
        <v>6060089.5983561166</v>
      </c>
      <c r="V170" s="665">
        <f t="shared" si="41"/>
        <v>17215.761971827582</v>
      </c>
      <c r="W170" s="590">
        <f t="shared" si="37"/>
        <v>9033206.18785372</v>
      </c>
      <c r="X170" s="589" t="b">
        <f t="shared" si="38"/>
        <v>1</v>
      </c>
    </row>
    <row r="171" spans="9:24" ht="16.5" hidden="1" customHeight="1">
      <c r="I171" s="589">
        <v>169</v>
      </c>
      <c r="J171" s="654">
        <f t="shared" si="28"/>
        <v>62117.38548147284</v>
      </c>
      <c r="K171" s="655">
        <f t="shared" si="29"/>
        <v>4760.5860637299793</v>
      </c>
      <c r="L171" s="654">
        <f t="shared" si="32"/>
        <v>57356.799417742863</v>
      </c>
      <c r="M171" s="656">
        <f t="shared" si="33"/>
        <v>656731.11014175403</v>
      </c>
      <c r="N171" s="657">
        <f t="shared" si="39"/>
        <v>4654569.2565106638</v>
      </c>
      <c r="O171" s="589">
        <f t="shared" si="34"/>
        <v>193</v>
      </c>
      <c r="P171" s="654">
        <f t="shared" si="30"/>
        <v>44901.623509645258</v>
      </c>
      <c r="Q171" s="664">
        <f t="shared" si="31"/>
        <v>30196.576399216832</v>
      </c>
      <c r="R171" s="654">
        <f t="shared" si="35"/>
        <v>14705.047110428426</v>
      </c>
      <c r="S171" s="656">
        <f t="shared" si="36"/>
        <v>4514781.4127720967</v>
      </c>
      <c r="T171" s="657">
        <f t="shared" si="40"/>
        <v>6090286.174755333</v>
      </c>
      <c r="V171" s="665">
        <f t="shared" si="41"/>
        <v>17215.761971827582</v>
      </c>
      <c r="W171" s="590">
        <f t="shared" si="37"/>
        <v>9156446.8910573702</v>
      </c>
      <c r="X171" s="589" t="b">
        <f t="shared" si="38"/>
        <v>1</v>
      </c>
    </row>
    <row r="172" spans="9:24" ht="16.5" hidden="1" customHeight="1">
      <c r="I172" s="589">
        <v>170</v>
      </c>
      <c r="J172" s="654">
        <f t="shared" si="28"/>
        <v>62117.38548147284</v>
      </c>
      <c r="K172" s="655">
        <f t="shared" si="29"/>
        <v>4378.2074009450271</v>
      </c>
      <c r="L172" s="654">
        <f t="shared" si="32"/>
        <v>57739.17808052781</v>
      </c>
      <c r="M172" s="656">
        <f t="shared" si="33"/>
        <v>598991.93206122622</v>
      </c>
      <c r="N172" s="657">
        <f t="shared" si="39"/>
        <v>4658947.4639116088</v>
      </c>
      <c r="O172" s="589">
        <f t="shared" si="34"/>
        <v>194</v>
      </c>
      <c r="P172" s="654">
        <f t="shared" si="30"/>
        <v>44901.623509645258</v>
      </c>
      <c r="Q172" s="664">
        <f t="shared" si="31"/>
        <v>30098.54275181398</v>
      </c>
      <c r="R172" s="654">
        <f t="shared" si="35"/>
        <v>14803.080757831278</v>
      </c>
      <c r="S172" s="656">
        <f t="shared" si="36"/>
        <v>4499978.3320142655</v>
      </c>
      <c r="T172" s="657">
        <f t="shared" si="40"/>
        <v>6120384.7175071472</v>
      </c>
      <c r="V172" s="665">
        <f t="shared" si="41"/>
        <v>17215.761971827582</v>
      </c>
      <c r="W172" s="590">
        <f t="shared" si="37"/>
        <v>9281131.3488601968</v>
      </c>
      <c r="X172" s="589" t="b">
        <f t="shared" si="38"/>
        <v>1</v>
      </c>
    </row>
    <row r="173" spans="9:24" ht="16.5" hidden="1" customHeight="1">
      <c r="I173" s="589">
        <v>171</v>
      </c>
      <c r="J173" s="654">
        <f t="shared" si="28"/>
        <v>62117.38548147284</v>
      </c>
      <c r="K173" s="655">
        <f t="shared" si="29"/>
        <v>3993.279547074842</v>
      </c>
      <c r="L173" s="654">
        <f t="shared" si="32"/>
        <v>58124.105934398001</v>
      </c>
      <c r="M173" s="656">
        <f t="shared" si="33"/>
        <v>540867.82612682821</v>
      </c>
      <c r="N173" s="657">
        <f t="shared" si="39"/>
        <v>4662940.7434586836</v>
      </c>
      <c r="O173" s="589">
        <f t="shared" si="34"/>
        <v>195</v>
      </c>
      <c r="P173" s="654">
        <f t="shared" si="30"/>
        <v>44901.623509645258</v>
      </c>
      <c r="Q173" s="664">
        <f t="shared" si="31"/>
        <v>29999.855546761773</v>
      </c>
      <c r="R173" s="654">
        <f t="shared" si="35"/>
        <v>14901.767962883485</v>
      </c>
      <c r="S173" s="656">
        <f t="shared" si="36"/>
        <v>4485076.5640513822</v>
      </c>
      <c r="T173" s="657">
        <f t="shared" si="40"/>
        <v>6150384.5730539095</v>
      </c>
      <c r="V173" s="665">
        <f t="shared" si="41"/>
        <v>17215.761971827582</v>
      </c>
      <c r="W173" s="590">
        <f t="shared" si="37"/>
        <v>9407276.4747273792</v>
      </c>
      <c r="X173" s="589" t="b">
        <f t="shared" si="38"/>
        <v>1</v>
      </c>
    </row>
    <row r="174" spans="9:24" ht="16.5" hidden="1" customHeight="1">
      <c r="I174" s="589">
        <v>172</v>
      </c>
      <c r="J174" s="654">
        <f t="shared" si="28"/>
        <v>62117.38548147284</v>
      </c>
      <c r="K174" s="655">
        <f t="shared" si="29"/>
        <v>3605.7855075121884</v>
      </c>
      <c r="L174" s="654">
        <f t="shared" si="32"/>
        <v>58511.599973960649</v>
      </c>
      <c r="M174" s="656">
        <f t="shared" si="33"/>
        <v>482356.22615286754</v>
      </c>
      <c r="N174" s="657">
        <f t="shared" si="39"/>
        <v>4666546.5289661959</v>
      </c>
      <c r="O174" s="589">
        <f t="shared" si="34"/>
        <v>196</v>
      </c>
      <c r="P174" s="654">
        <f t="shared" si="30"/>
        <v>44901.623509645258</v>
      </c>
      <c r="Q174" s="664">
        <f t="shared" si="31"/>
        <v>29900.510427009216</v>
      </c>
      <c r="R174" s="654">
        <f t="shared" si="35"/>
        <v>15001.113082636042</v>
      </c>
      <c r="S174" s="656">
        <f t="shared" si="36"/>
        <v>4470075.4509687461</v>
      </c>
      <c r="T174" s="657">
        <f t="shared" si="40"/>
        <v>6180285.0834809188</v>
      </c>
      <c r="V174" s="665">
        <f t="shared" si="41"/>
        <v>17215.761971827582</v>
      </c>
      <c r="W174" s="590">
        <f t="shared" si="37"/>
        <v>9534899.3802639414</v>
      </c>
      <c r="X174" s="589" t="b">
        <f t="shared" si="38"/>
        <v>1</v>
      </c>
    </row>
    <row r="175" spans="9:24" ht="16.5" hidden="1" customHeight="1">
      <c r="I175" s="589">
        <v>173</v>
      </c>
      <c r="J175" s="654">
        <f t="shared" si="28"/>
        <v>62117.38548147284</v>
      </c>
      <c r="K175" s="655">
        <f t="shared" si="29"/>
        <v>3215.7081743524504</v>
      </c>
      <c r="L175" s="654">
        <f t="shared" si="32"/>
        <v>58901.677307120393</v>
      </c>
      <c r="M175" s="656">
        <f t="shared" si="33"/>
        <v>423454.54884574714</v>
      </c>
      <c r="N175" s="657">
        <f t="shared" si="39"/>
        <v>4669762.2371405484</v>
      </c>
      <c r="O175" s="589">
        <f t="shared" si="34"/>
        <v>197</v>
      </c>
      <c r="P175" s="654">
        <f t="shared" si="30"/>
        <v>44901.623509645258</v>
      </c>
      <c r="Q175" s="664">
        <f t="shared" si="31"/>
        <v>29800.503006458308</v>
      </c>
      <c r="R175" s="654">
        <f t="shared" si="35"/>
        <v>15101.12050318695</v>
      </c>
      <c r="S175" s="656">
        <f t="shared" si="36"/>
        <v>4454974.3304655589</v>
      </c>
      <c r="T175" s="657">
        <f t="shared" si="40"/>
        <v>6210085.5864873771</v>
      </c>
      <c r="V175" s="665">
        <f t="shared" si="41"/>
        <v>17215.761971827582</v>
      </c>
      <c r="W175" s="590">
        <f t="shared" si="37"/>
        <v>9664017.3775359336</v>
      </c>
      <c r="X175" s="589" t="b">
        <f t="shared" si="38"/>
        <v>1</v>
      </c>
    </row>
    <row r="176" spans="9:24" ht="16.5" hidden="1" customHeight="1">
      <c r="I176" s="589">
        <v>174</v>
      </c>
      <c r="J176" s="654">
        <f t="shared" si="28"/>
        <v>62117.38548147284</v>
      </c>
      <c r="K176" s="655">
        <f t="shared" si="29"/>
        <v>2823.0303256383145</v>
      </c>
      <c r="L176" s="654">
        <f t="shared" si="32"/>
        <v>59294.355155834528</v>
      </c>
      <c r="M176" s="656">
        <f t="shared" si="33"/>
        <v>364160.19368991262</v>
      </c>
      <c r="N176" s="657">
        <f t="shared" si="39"/>
        <v>4672585.2674661865</v>
      </c>
      <c r="O176" s="589">
        <f t="shared" si="34"/>
        <v>198</v>
      </c>
      <c r="P176" s="654">
        <f t="shared" si="30"/>
        <v>44901.623509645258</v>
      </c>
      <c r="Q176" s="664">
        <f t="shared" si="31"/>
        <v>29699.828869770394</v>
      </c>
      <c r="R176" s="654">
        <f t="shared" si="35"/>
        <v>15201.794639874865</v>
      </c>
      <c r="S176" s="656">
        <f t="shared" si="36"/>
        <v>4439772.5358256837</v>
      </c>
      <c r="T176" s="657">
        <f t="shared" si="40"/>
        <v>6239785.4153571473</v>
      </c>
      <c r="V176" s="665">
        <f t="shared" si="41"/>
        <v>17215.761971827582</v>
      </c>
      <c r="W176" s="590">
        <f t="shared" si="37"/>
        <v>9794647.9814188257</v>
      </c>
      <c r="X176" s="589" t="b">
        <f t="shared" si="38"/>
        <v>1</v>
      </c>
    </row>
    <row r="177" spans="9:24" ht="16.5" hidden="1" customHeight="1">
      <c r="I177" s="589">
        <v>175</v>
      </c>
      <c r="J177" s="654">
        <f t="shared" si="28"/>
        <v>62117.38548147284</v>
      </c>
      <c r="K177" s="655">
        <f t="shared" si="29"/>
        <v>2427.7346245994177</v>
      </c>
      <c r="L177" s="654">
        <f t="shared" si="32"/>
        <v>59689.650856873421</v>
      </c>
      <c r="M177" s="656">
        <f t="shared" si="33"/>
        <v>304470.54283303919</v>
      </c>
      <c r="N177" s="657">
        <f t="shared" si="39"/>
        <v>4675013.0020907857</v>
      </c>
      <c r="O177" s="589">
        <f t="shared" si="34"/>
        <v>199</v>
      </c>
      <c r="P177" s="654">
        <f t="shared" si="30"/>
        <v>44901.623509645258</v>
      </c>
      <c r="Q177" s="664">
        <f t="shared" si="31"/>
        <v>29598.483572171226</v>
      </c>
      <c r="R177" s="654">
        <f t="shared" si="35"/>
        <v>15303.139937474032</v>
      </c>
      <c r="S177" s="656">
        <f t="shared" si="36"/>
        <v>4424469.3958882093</v>
      </c>
      <c r="T177" s="657">
        <f t="shared" si="40"/>
        <v>6269383.8989293184</v>
      </c>
      <c r="V177" s="665">
        <f t="shared" si="41"/>
        <v>17215.761971827582</v>
      </c>
      <c r="W177" s="590">
        <f t="shared" si="37"/>
        <v>9926808.9119733963</v>
      </c>
      <c r="X177" s="589" t="b">
        <f t="shared" si="38"/>
        <v>1</v>
      </c>
    </row>
    <row r="178" spans="9:24" ht="16.5" hidden="1" customHeight="1">
      <c r="I178" s="589">
        <v>176</v>
      </c>
      <c r="J178" s="654">
        <f t="shared" si="28"/>
        <v>62117.38548147284</v>
      </c>
      <c r="K178" s="655">
        <f t="shared" si="29"/>
        <v>2029.803618886928</v>
      </c>
      <c r="L178" s="654">
        <f t="shared" si="32"/>
        <v>60087.58186258591</v>
      </c>
      <c r="M178" s="656">
        <f t="shared" si="33"/>
        <v>244382.96097045328</v>
      </c>
      <c r="N178" s="657">
        <f t="shared" si="39"/>
        <v>4677042.8057096722</v>
      </c>
      <c r="O178" s="589">
        <f t="shared" si="34"/>
        <v>200</v>
      </c>
      <c r="P178" s="654">
        <f t="shared" si="30"/>
        <v>44901.623509645258</v>
      </c>
      <c r="Q178" s="664">
        <f t="shared" si="31"/>
        <v>29496.462639254732</v>
      </c>
      <c r="R178" s="654">
        <f t="shared" si="35"/>
        <v>15405.160870390526</v>
      </c>
      <c r="S178" s="656">
        <f t="shared" si="36"/>
        <v>4409064.2350178184</v>
      </c>
      <c r="T178" s="657">
        <f t="shared" si="40"/>
        <v>6298880.3615685729</v>
      </c>
      <c r="V178" s="665">
        <f t="shared" si="41"/>
        <v>17215.761971827582</v>
      </c>
      <c r="W178" s="590">
        <f t="shared" si="37"/>
        <v>10060518.096849464</v>
      </c>
      <c r="X178" s="589" t="b">
        <f t="shared" si="38"/>
        <v>1</v>
      </c>
    </row>
    <row r="179" spans="9:24" ht="16.5" hidden="1" customHeight="1">
      <c r="I179" s="589">
        <v>177</v>
      </c>
      <c r="J179" s="654">
        <f t="shared" si="28"/>
        <v>62117.38548147284</v>
      </c>
      <c r="K179" s="655">
        <f t="shared" si="29"/>
        <v>1629.2197398030219</v>
      </c>
      <c r="L179" s="654">
        <f t="shared" si="32"/>
        <v>60488.165741669822</v>
      </c>
      <c r="M179" s="656">
        <f t="shared" si="33"/>
        <v>183894.79522878345</v>
      </c>
      <c r="N179" s="657">
        <f t="shared" si="39"/>
        <v>4678672.0254494753</v>
      </c>
      <c r="O179" s="589">
        <f t="shared" si="34"/>
        <v>201</v>
      </c>
      <c r="P179" s="654">
        <f t="shared" si="30"/>
        <v>44901.623509645258</v>
      </c>
      <c r="Q179" s="664">
        <f t="shared" si="31"/>
        <v>29393.761566785459</v>
      </c>
      <c r="R179" s="654">
        <f t="shared" si="35"/>
        <v>15507.861942859799</v>
      </c>
      <c r="S179" s="656">
        <f t="shared" si="36"/>
        <v>4393556.373074959</v>
      </c>
      <c r="T179" s="657">
        <f t="shared" si="40"/>
        <v>6328274.1231353581</v>
      </c>
      <c r="V179" s="665">
        <f t="shared" si="41"/>
        <v>17215.761971827582</v>
      </c>
      <c r="W179" s="590">
        <f t="shared" si="37"/>
        <v>10195793.673717776</v>
      </c>
      <c r="X179" s="589" t="b">
        <f t="shared" si="38"/>
        <v>1</v>
      </c>
    </row>
    <row r="180" spans="9:24" ht="16.5" hidden="1" customHeight="1">
      <c r="I180" s="589">
        <v>178</v>
      </c>
      <c r="J180" s="654">
        <f t="shared" si="28"/>
        <v>62117.38548147284</v>
      </c>
      <c r="K180" s="655">
        <f t="shared" si="29"/>
        <v>1225.9653015252231</v>
      </c>
      <c r="L180" s="654">
        <f t="shared" si="32"/>
        <v>60891.420179947614</v>
      </c>
      <c r="M180" s="656">
        <f t="shared" si="33"/>
        <v>123003.37504883583</v>
      </c>
      <c r="N180" s="657">
        <f t="shared" si="39"/>
        <v>4679897.9907510001</v>
      </c>
      <c r="O180" s="589">
        <f t="shared" si="34"/>
        <v>202</v>
      </c>
      <c r="P180" s="654">
        <f t="shared" si="30"/>
        <v>44901.623509645258</v>
      </c>
      <c r="Q180" s="664">
        <f t="shared" si="31"/>
        <v>29290.375820499728</v>
      </c>
      <c r="R180" s="654">
        <f t="shared" si="35"/>
        <v>15611.24768914553</v>
      </c>
      <c r="S180" s="656">
        <f t="shared" si="36"/>
        <v>4377945.1253858134</v>
      </c>
      <c r="T180" s="657">
        <f t="shared" si="40"/>
        <v>6357564.4989558579</v>
      </c>
      <c r="V180" s="665">
        <f t="shared" si="41"/>
        <v>17215.761971827582</v>
      </c>
      <c r="W180" s="590">
        <f t="shared" si="37"/>
        <v>10332653.992730387</v>
      </c>
      <c r="X180" s="589" t="b">
        <f t="shared" si="38"/>
        <v>1</v>
      </c>
    </row>
    <row r="181" spans="9:24" ht="16.5" hidden="1" customHeight="1">
      <c r="I181" s="589">
        <v>179</v>
      </c>
      <c r="J181" s="654">
        <f t="shared" si="28"/>
        <v>62117.38548147284</v>
      </c>
      <c r="K181" s="655">
        <f t="shared" si="29"/>
        <v>820.02250032557231</v>
      </c>
      <c r="L181" s="654">
        <f t="shared" si="32"/>
        <v>61297.362981147271</v>
      </c>
      <c r="M181" s="656">
        <f t="shared" si="33"/>
        <v>61706.012067688564</v>
      </c>
      <c r="N181" s="657">
        <f t="shared" si="39"/>
        <v>4680718.013251326</v>
      </c>
      <c r="O181" s="589">
        <f t="shared" si="34"/>
        <v>203</v>
      </c>
      <c r="P181" s="654">
        <f t="shared" si="30"/>
        <v>44901.623509645258</v>
      </c>
      <c r="Q181" s="664">
        <f t="shared" si="31"/>
        <v>29186.300835905426</v>
      </c>
      <c r="R181" s="654">
        <f t="shared" si="35"/>
        <v>15715.322673739833</v>
      </c>
      <c r="S181" s="656">
        <f t="shared" si="36"/>
        <v>4362229.8027120735</v>
      </c>
      <c r="T181" s="657">
        <f t="shared" si="40"/>
        <v>6386750.7997917635</v>
      </c>
      <c r="V181" s="665">
        <f t="shared" si="41"/>
        <v>17215.761971827582</v>
      </c>
      <c r="W181" s="590">
        <f t="shared" si="37"/>
        <v>10471117.619009852</v>
      </c>
      <c r="X181" s="589" t="b">
        <f t="shared" si="38"/>
        <v>1</v>
      </c>
    </row>
    <row r="182" spans="9:24" ht="16.5" hidden="1" customHeight="1">
      <c r="I182" s="589">
        <v>180</v>
      </c>
      <c r="J182" s="654">
        <f t="shared" si="28"/>
        <v>62117.38548147284</v>
      </c>
      <c r="K182" s="655">
        <f t="shared" si="29"/>
        <v>411.37341378459047</v>
      </c>
      <c r="L182" s="654">
        <f t="shared" si="32"/>
        <v>61706.012067688251</v>
      </c>
      <c r="M182" s="656">
        <f t="shared" si="33"/>
        <v>3.1286617740988731E-10</v>
      </c>
      <c r="N182" s="657">
        <f t="shared" si="39"/>
        <v>4681129.3866651105</v>
      </c>
      <c r="O182" s="589">
        <f t="shared" si="34"/>
        <v>204</v>
      </c>
      <c r="P182" s="654">
        <f t="shared" si="30"/>
        <v>44901.623509645258</v>
      </c>
      <c r="Q182" s="664">
        <f t="shared" si="31"/>
        <v>29081.532018080492</v>
      </c>
      <c r="R182" s="654">
        <f t="shared" si="35"/>
        <v>15820.091491564766</v>
      </c>
      <c r="S182" s="656">
        <f t="shared" si="36"/>
        <v>4346409.7112205084</v>
      </c>
      <c r="T182" s="657">
        <f t="shared" si="40"/>
        <v>6415832.3318098439</v>
      </c>
      <c r="V182" s="665">
        <f t="shared" si="41"/>
        <v>17215.761971827582</v>
      </c>
      <c r="W182" s="590">
        <f t="shared" si="37"/>
        <v>10611203.335167605</v>
      </c>
      <c r="X182" s="589" t="b">
        <f t="shared" si="38"/>
        <v>1</v>
      </c>
    </row>
    <row r="183" spans="9:24" ht="16.5" hidden="1" customHeight="1">
      <c r="I183" s="589">
        <v>181</v>
      </c>
      <c r="J183" s="654">
        <f t="shared" si="28"/>
        <v>62117.38548147284</v>
      </c>
      <c r="K183" s="655">
        <f t="shared" si="29"/>
        <v>2.0857745160659155E-12</v>
      </c>
      <c r="L183" s="654">
        <f t="shared" si="32"/>
        <v>62117.38548147284</v>
      </c>
      <c r="M183" s="656">
        <f t="shared" si="33"/>
        <v>-62117.385481472527</v>
      </c>
      <c r="N183" s="657">
        <f t="shared" si="39"/>
        <v>4681129.3866651105</v>
      </c>
      <c r="O183" s="589">
        <f t="shared" si="34"/>
        <v>205</v>
      </c>
      <c r="P183" s="654">
        <f t="shared" si="30"/>
        <v>44901.623509645258</v>
      </c>
      <c r="Q183" s="664">
        <f t="shared" si="31"/>
        <v>28976.064741470058</v>
      </c>
      <c r="R183" s="654">
        <f t="shared" si="35"/>
        <v>15925.5587681752</v>
      </c>
      <c r="S183" s="656">
        <f t="shared" si="36"/>
        <v>4330484.1524523329</v>
      </c>
      <c r="T183" s="657">
        <f t="shared" si="40"/>
        <v>6444808.3965513138</v>
      </c>
      <c r="V183" s="665">
        <f t="shared" si="41"/>
        <v>17215.761971827582</v>
      </c>
      <c r="W183" s="590">
        <f t="shared" si="37"/>
        <v>10752930.143851804</v>
      </c>
      <c r="X183" s="589" t="b">
        <f t="shared" si="38"/>
        <v>1</v>
      </c>
    </row>
    <row r="184" spans="9:24" ht="16.5" hidden="1" customHeight="1">
      <c r="I184" s="589">
        <v>182</v>
      </c>
      <c r="J184" s="654">
        <f t="shared" si="28"/>
        <v>62117.38548147284</v>
      </c>
      <c r="K184" s="655">
        <f t="shared" si="29"/>
        <v>-414.11590320981685</v>
      </c>
      <c r="L184" s="654">
        <f t="shared" si="32"/>
        <v>62531.501384682655</v>
      </c>
      <c r="M184" s="656">
        <f t="shared" si="33"/>
        <v>-124648.88686615518</v>
      </c>
      <c r="N184" s="657">
        <f t="shared" si="39"/>
        <v>4680715.2707619006</v>
      </c>
      <c r="O184" s="589">
        <f t="shared" si="34"/>
        <v>206</v>
      </c>
      <c r="P184" s="654">
        <f t="shared" si="30"/>
        <v>44901.623509645258</v>
      </c>
      <c r="Q184" s="664">
        <f t="shared" si="31"/>
        <v>28869.894349682221</v>
      </c>
      <c r="R184" s="654">
        <f t="shared" si="35"/>
        <v>16031.729159963037</v>
      </c>
      <c r="S184" s="656">
        <f t="shared" si="36"/>
        <v>4314452.4232923696</v>
      </c>
      <c r="T184" s="657">
        <f t="shared" si="40"/>
        <v>6473678.290900996</v>
      </c>
      <c r="V184" s="665">
        <f t="shared" si="41"/>
        <v>17215.761971827582</v>
      </c>
      <c r="W184" s="590">
        <f t="shared" si="37"/>
        <v>10896317.270325053</v>
      </c>
      <c r="X184" s="589" t="b">
        <f t="shared" si="38"/>
        <v>1</v>
      </c>
    </row>
    <row r="185" spans="9:24" ht="16.5" hidden="1" customHeight="1">
      <c r="I185" s="589">
        <v>183</v>
      </c>
      <c r="J185" s="654">
        <f t="shared" si="28"/>
        <v>62117.38548147284</v>
      </c>
      <c r="K185" s="655">
        <f t="shared" si="29"/>
        <v>-830.99257910770132</v>
      </c>
      <c r="L185" s="654">
        <f t="shared" si="32"/>
        <v>62948.378060580544</v>
      </c>
      <c r="M185" s="656">
        <f t="shared" si="33"/>
        <v>-187597.26492673572</v>
      </c>
      <c r="N185" s="657">
        <f t="shared" si="39"/>
        <v>4679884.2781827925</v>
      </c>
      <c r="O185" s="589">
        <f t="shared" si="34"/>
        <v>207</v>
      </c>
      <c r="P185" s="654">
        <f t="shared" si="30"/>
        <v>44901.623509645258</v>
      </c>
      <c r="Q185" s="664">
        <f t="shared" si="31"/>
        <v>28763.016155282465</v>
      </c>
      <c r="R185" s="654">
        <f t="shared" si="35"/>
        <v>16138.607354362794</v>
      </c>
      <c r="S185" s="656">
        <f t="shared" si="36"/>
        <v>4298313.8159380071</v>
      </c>
      <c r="T185" s="657">
        <f t="shared" si="40"/>
        <v>6502441.307056278</v>
      </c>
      <c r="V185" s="665">
        <f t="shared" si="41"/>
        <v>17215.761971827582</v>
      </c>
      <c r="W185" s="590">
        <f t="shared" si="37"/>
        <v>11041384.165072314</v>
      </c>
      <c r="X185" s="589" t="b">
        <f t="shared" si="38"/>
        <v>1</v>
      </c>
    </row>
    <row r="186" spans="9:24" ht="16.5" hidden="1" customHeight="1">
      <c r="I186" s="589">
        <v>184</v>
      </c>
      <c r="J186" s="654">
        <f t="shared" si="28"/>
        <v>62117.38548147284</v>
      </c>
      <c r="K186" s="655">
        <f t="shared" si="29"/>
        <v>-1250.6484328449048</v>
      </c>
      <c r="L186" s="654">
        <f t="shared" si="32"/>
        <v>63368.033914317748</v>
      </c>
      <c r="M186" s="656">
        <f t="shared" si="33"/>
        <v>-250965.29884105347</v>
      </c>
      <c r="N186" s="657">
        <f t="shared" si="39"/>
        <v>4678633.6297499472</v>
      </c>
      <c r="O186" s="589">
        <f t="shared" si="34"/>
        <v>208</v>
      </c>
      <c r="P186" s="654">
        <f t="shared" si="30"/>
        <v>44901.623509645258</v>
      </c>
      <c r="Q186" s="664">
        <f t="shared" si="31"/>
        <v>28655.425439586717</v>
      </c>
      <c r="R186" s="654">
        <f t="shared" si="35"/>
        <v>16246.198070058541</v>
      </c>
      <c r="S186" s="656">
        <f t="shared" si="36"/>
        <v>4282067.6178679485</v>
      </c>
      <c r="T186" s="657">
        <f t="shared" si="40"/>
        <v>6531096.7324958649</v>
      </c>
      <c r="V186" s="665">
        <f t="shared" si="41"/>
        <v>17215.761971827582</v>
      </c>
      <c r="W186" s="590">
        <f t="shared" si="37"/>
        <v>11188150.50643936</v>
      </c>
      <c r="X186" s="589" t="b">
        <f t="shared" si="38"/>
        <v>1</v>
      </c>
    </row>
    <row r="187" spans="9:24" ht="16.5" hidden="1" customHeight="1">
      <c r="I187" s="589">
        <v>185</v>
      </c>
      <c r="J187" s="654">
        <f t="shared" si="28"/>
        <v>62117.38548147284</v>
      </c>
      <c r="K187" s="655">
        <f t="shared" si="29"/>
        <v>-1673.10199227369</v>
      </c>
      <c r="L187" s="654">
        <f t="shared" si="32"/>
        <v>63790.487473746529</v>
      </c>
      <c r="M187" s="656">
        <f t="shared" si="33"/>
        <v>-314755.78631480003</v>
      </c>
      <c r="N187" s="657">
        <f t="shared" si="39"/>
        <v>4676960.5277576735</v>
      </c>
      <c r="O187" s="589">
        <f t="shared" si="34"/>
        <v>209</v>
      </c>
      <c r="P187" s="654">
        <f t="shared" si="30"/>
        <v>44901.623509645258</v>
      </c>
      <c r="Q187" s="664">
        <f t="shared" si="31"/>
        <v>28547.117452452992</v>
      </c>
      <c r="R187" s="654">
        <f t="shared" si="35"/>
        <v>16354.506057192266</v>
      </c>
      <c r="S187" s="656">
        <f t="shared" si="36"/>
        <v>4265713.1118107559</v>
      </c>
      <c r="T187" s="657">
        <f t="shared" si="40"/>
        <v>6559643.8499483177</v>
      </c>
      <c r="V187" s="665">
        <f t="shared" si="41"/>
        <v>17215.761971827582</v>
      </c>
      <c r="W187" s="590">
        <f t="shared" si="37"/>
        <v>11336636.203302151</v>
      </c>
      <c r="X187" s="589" t="b">
        <f t="shared" si="38"/>
        <v>1</v>
      </c>
    </row>
    <row r="188" spans="9:24" ht="16.5" hidden="1" customHeight="1">
      <c r="I188" s="589">
        <v>186</v>
      </c>
      <c r="J188" s="654">
        <f t="shared" si="28"/>
        <v>62117.38548147284</v>
      </c>
      <c r="K188" s="655">
        <f t="shared" si="29"/>
        <v>-2098.3719087653335</v>
      </c>
      <c r="L188" s="654">
        <f t="shared" si="32"/>
        <v>64215.75739023817</v>
      </c>
      <c r="M188" s="656">
        <f t="shared" si="33"/>
        <v>-378971.5437050382</v>
      </c>
      <c r="N188" s="657">
        <f t="shared" si="39"/>
        <v>4674862.1558489082</v>
      </c>
      <c r="O188" s="589">
        <f t="shared" si="34"/>
        <v>210</v>
      </c>
      <c r="P188" s="654">
        <f t="shared" si="30"/>
        <v>44901.623509645258</v>
      </c>
      <c r="Q188" s="664">
        <f t="shared" si="31"/>
        <v>28438.087412071709</v>
      </c>
      <c r="R188" s="654">
        <f t="shared" si="35"/>
        <v>16463.536097573549</v>
      </c>
      <c r="S188" s="656">
        <f t="shared" si="36"/>
        <v>4249249.5757131828</v>
      </c>
      <c r="T188" s="657">
        <f t="shared" si="40"/>
        <v>6588081.9373603892</v>
      </c>
      <c r="V188" s="665">
        <f t="shared" si="41"/>
        <v>17215.761971827582</v>
      </c>
      <c r="W188" s="590">
        <f t="shared" si="37"/>
        <v>11486861.397767477</v>
      </c>
      <c r="X188" s="589" t="b">
        <f t="shared" si="38"/>
        <v>1</v>
      </c>
    </row>
    <row r="189" spans="9:24" ht="16.5" hidden="1" customHeight="1">
      <c r="I189" s="589">
        <v>187</v>
      </c>
      <c r="J189" s="654">
        <f t="shared" si="28"/>
        <v>62117.38548147284</v>
      </c>
      <c r="K189" s="655">
        <f t="shared" si="29"/>
        <v>-2526.4769580335883</v>
      </c>
      <c r="L189" s="654">
        <f t="shared" si="32"/>
        <v>64643.862439506425</v>
      </c>
      <c r="M189" s="656">
        <f t="shared" si="33"/>
        <v>-443615.4061445446</v>
      </c>
      <c r="N189" s="657">
        <f t="shared" si="39"/>
        <v>4672335.6788908746</v>
      </c>
      <c r="O189" s="589">
        <f t="shared" si="34"/>
        <v>211</v>
      </c>
      <c r="P189" s="654">
        <f t="shared" si="30"/>
        <v>44901.623509645258</v>
      </c>
      <c r="Q189" s="664">
        <f t="shared" si="31"/>
        <v>28328.330504754555</v>
      </c>
      <c r="R189" s="654">
        <f t="shared" si="35"/>
        <v>16573.293004890704</v>
      </c>
      <c r="S189" s="656">
        <f t="shared" si="36"/>
        <v>4232676.2827082919</v>
      </c>
      <c r="T189" s="657">
        <f t="shared" si="40"/>
        <v>6616410.2678651437</v>
      </c>
      <c r="V189" s="665">
        <f t="shared" si="41"/>
        <v>17215.761971827582</v>
      </c>
      <c r="W189" s="590">
        <f t="shared" si="37"/>
        <v>11638846.467905233</v>
      </c>
      <c r="X189" s="589" t="b">
        <f t="shared" si="38"/>
        <v>1</v>
      </c>
    </row>
    <row r="190" spans="9:24" ht="16.5" hidden="1" customHeight="1">
      <c r="I190" s="589">
        <v>188</v>
      </c>
      <c r="J190" s="654">
        <f t="shared" si="28"/>
        <v>62117.38548147284</v>
      </c>
      <c r="K190" s="655">
        <f t="shared" si="29"/>
        <v>-2957.4360409636311</v>
      </c>
      <c r="L190" s="654">
        <f t="shared" si="32"/>
        <v>65074.821522436469</v>
      </c>
      <c r="M190" s="656">
        <f t="shared" si="33"/>
        <v>-508690.22766698105</v>
      </c>
      <c r="N190" s="657">
        <f t="shared" si="39"/>
        <v>4669378.2428499106</v>
      </c>
      <c r="O190" s="589">
        <f t="shared" si="34"/>
        <v>212</v>
      </c>
      <c r="P190" s="654">
        <f t="shared" si="30"/>
        <v>44901.623509645258</v>
      </c>
      <c r="Q190" s="664">
        <f t="shared" si="31"/>
        <v>28217.841884721947</v>
      </c>
      <c r="R190" s="654">
        <f t="shared" si="35"/>
        <v>16683.781624923311</v>
      </c>
      <c r="S190" s="656">
        <f t="shared" si="36"/>
        <v>4215992.5010833684</v>
      </c>
      <c r="T190" s="657">
        <f t="shared" si="40"/>
        <v>6644628.1097498657</v>
      </c>
      <c r="V190" s="665">
        <f t="shared" si="41"/>
        <v>17215.761971827582</v>
      </c>
      <c r="W190" s="590">
        <f t="shared" si="37"/>
        <v>11792612.030512711</v>
      </c>
      <c r="X190" s="589" t="b">
        <f t="shared" si="38"/>
        <v>1</v>
      </c>
    </row>
    <row r="191" spans="9:24" ht="16.5" hidden="1" customHeight="1">
      <c r="I191" s="589">
        <v>189</v>
      </c>
      <c r="J191" s="654">
        <f t="shared" si="28"/>
        <v>62117.38548147284</v>
      </c>
      <c r="K191" s="655">
        <f t="shared" si="29"/>
        <v>-3391.2681844465405</v>
      </c>
      <c r="L191" s="654">
        <f t="shared" si="32"/>
        <v>65508.653665919381</v>
      </c>
      <c r="M191" s="656">
        <f t="shared" si="33"/>
        <v>-574198.88133290038</v>
      </c>
      <c r="N191" s="657">
        <f t="shared" si="39"/>
        <v>4665986.9746654639</v>
      </c>
      <c r="O191" s="589">
        <f t="shared" si="34"/>
        <v>213</v>
      </c>
      <c r="P191" s="654">
        <f t="shared" si="30"/>
        <v>44901.623509645258</v>
      </c>
      <c r="Q191" s="664">
        <f t="shared" si="31"/>
        <v>28106.616673889126</v>
      </c>
      <c r="R191" s="654">
        <f t="shared" si="35"/>
        <v>16795.006835756132</v>
      </c>
      <c r="S191" s="656">
        <f t="shared" si="36"/>
        <v>4199197.4942476125</v>
      </c>
      <c r="T191" s="657">
        <f t="shared" si="40"/>
        <v>6672734.7264237553</v>
      </c>
      <c r="V191" s="665">
        <f t="shared" si="41"/>
        <v>17215.761971827582</v>
      </c>
      <c r="W191" s="590">
        <f t="shared" si="37"/>
        <v>11948178.943911269</v>
      </c>
      <c r="X191" s="589" t="b">
        <f t="shared" si="38"/>
        <v>1</v>
      </c>
    </row>
    <row r="192" spans="9:24" ht="16.5" hidden="1" customHeight="1">
      <c r="I192" s="589">
        <v>190</v>
      </c>
      <c r="J192" s="654">
        <f t="shared" si="28"/>
        <v>62117.38548147284</v>
      </c>
      <c r="K192" s="655">
        <f t="shared" si="29"/>
        <v>-3827.992542219336</v>
      </c>
      <c r="L192" s="654">
        <f t="shared" si="32"/>
        <v>65945.378023692174</v>
      </c>
      <c r="M192" s="656">
        <f t="shared" si="33"/>
        <v>-640144.25935659255</v>
      </c>
      <c r="N192" s="657">
        <f t="shared" si="39"/>
        <v>4662158.9821232446</v>
      </c>
      <c r="O192" s="589">
        <f t="shared" si="34"/>
        <v>214</v>
      </c>
      <c r="P192" s="654">
        <f t="shared" si="30"/>
        <v>44901.623509645258</v>
      </c>
      <c r="Q192" s="664">
        <f t="shared" si="31"/>
        <v>27994.649961650754</v>
      </c>
      <c r="R192" s="654">
        <f t="shared" si="35"/>
        <v>16906.973547994505</v>
      </c>
      <c r="S192" s="656">
        <f t="shared" si="36"/>
        <v>4182290.5206996179</v>
      </c>
      <c r="T192" s="657">
        <f t="shared" si="40"/>
        <v>6700729.3763854057</v>
      </c>
      <c r="V192" s="665">
        <f t="shared" si="41"/>
        <v>17215.761971827582</v>
      </c>
      <c r="W192" s="590">
        <f t="shared" si="37"/>
        <v>12105568.31077577</v>
      </c>
      <c r="X192" s="589" t="b">
        <f t="shared" si="38"/>
        <v>1</v>
      </c>
    </row>
    <row r="193" spans="9:24" ht="16.5" hidden="1" customHeight="1">
      <c r="I193" s="589">
        <v>191</v>
      </c>
      <c r="J193" s="654">
        <f t="shared" si="28"/>
        <v>62117.38548147284</v>
      </c>
      <c r="K193" s="655">
        <f t="shared" si="29"/>
        <v>-4267.628395710617</v>
      </c>
      <c r="L193" s="654">
        <f t="shared" si="32"/>
        <v>66385.013877183461</v>
      </c>
      <c r="M193" s="656">
        <f t="shared" si="33"/>
        <v>-706529.27323377598</v>
      </c>
      <c r="N193" s="657">
        <f t="shared" si="39"/>
        <v>4657891.3537275335</v>
      </c>
      <c r="O193" s="589">
        <f t="shared" si="34"/>
        <v>215</v>
      </c>
      <c r="P193" s="654">
        <f t="shared" si="30"/>
        <v>44901.623509645258</v>
      </c>
      <c r="Q193" s="664">
        <f t="shared" si="31"/>
        <v>27881.936804664121</v>
      </c>
      <c r="R193" s="654">
        <f t="shared" si="35"/>
        <v>17019.686704981137</v>
      </c>
      <c r="S193" s="656">
        <f t="shared" si="36"/>
        <v>4165270.8339946368</v>
      </c>
      <c r="T193" s="657">
        <f t="shared" si="40"/>
        <v>6728611.31319007</v>
      </c>
      <c r="V193" s="665">
        <f t="shared" si="41"/>
        <v>17215.761971827582</v>
      </c>
      <c r="W193" s="590">
        <f t="shared" si="37"/>
        <v>12264801.480997156</v>
      </c>
      <c r="X193" s="589" t="b">
        <f t="shared" si="38"/>
        <v>1</v>
      </c>
    </row>
    <row r="194" spans="9:24" ht="16.5" hidden="1" customHeight="1">
      <c r="I194" s="589">
        <v>192</v>
      </c>
      <c r="J194" s="654">
        <f t="shared" si="28"/>
        <v>62117.38548147284</v>
      </c>
      <c r="K194" s="655">
        <f t="shared" si="29"/>
        <v>-4710.1951548918405</v>
      </c>
      <c r="L194" s="654">
        <f t="shared" si="32"/>
        <v>66827.580636364684</v>
      </c>
      <c r="M194" s="656">
        <f t="shared" si="33"/>
        <v>-773356.85387014062</v>
      </c>
      <c r="N194" s="657">
        <f t="shared" si="39"/>
        <v>4653181.1585726412</v>
      </c>
      <c r="O194" s="589">
        <f t="shared" si="34"/>
        <v>216</v>
      </c>
      <c r="P194" s="654">
        <f t="shared" si="30"/>
        <v>44901.623509645258</v>
      </c>
      <c r="Q194" s="664">
        <f t="shared" si="31"/>
        <v>27768.472226630915</v>
      </c>
      <c r="R194" s="654">
        <f t="shared" si="35"/>
        <v>17133.151283014344</v>
      </c>
      <c r="S194" s="656">
        <f t="shared" si="36"/>
        <v>4148137.6827116222</v>
      </c>
      <c r="T194" s="657">
        <f t="shared" si="40"/>
        <v>6756379.7854167009</v>
      </c>
      <c r="V194" s="665">
        <f t="shared" si="41"/>
        <v>17215.761971827582</v>
      </c>
      <c r="W194" s="590">
        <f t="shared" si="37"/>
        <v>12425900.054578573</v>
      </c>
      <c r="X194" s="589" t="b">
        <f t="shared" si="38"/>
        <v>1</v>
      </c>
    </row>
    <row r="195" spans="9:24" ht="16.5" hidden="1" customHeight="1">
      <c r="I195" s="589">
        <v>193</v>
      </c>
      <c r="J195" s="654">
        <f t="shared" ref="J195:J258" si="42">$C$8</f>
        <v>62117.38548147284</v>
      </c>
      <c r="K195" s="655">
        <f t="shared" ref="K195:K258" si="43">M194*($C$6/12)</f>
        <v>-5155.7123591342715</v>
      </c>
      <c r="L195" s="654">
        <f t="shared" si="32"/>
        <v>67273.097840607108</v>
      </c>
      <c r="M195" s="656">
        <f t="shared" si="33"/>
        <v>-840629.95171074779</v>
      </c>
      <c r="N195" s="657">
        <f t="shared" si="39"/>
        <v>4648025.4462135071</v>
      </c>
      <c r="O195" s="589">
        <f t="shared" si="34"/>
        <v>217</v>
      </c>
      <c r="P195" s="654">
        <f t="shared" ref="P195:P258" si="44">$C$15</f>
        <v>44901.623509645258</v>
      </c>
      <c r="Q195" s="664">
        <f t="shared" ref="Q195:Q258" si="45">S194*($C$6/12)</f>
        <v>27654.251218077483</v>
      </c>
      <c r="R195" s="654">
        <f t="shared" si="35"/>
        <v>17247.372291567775</v>
      </c>
      <c r="S195" s="656">
        <f t="shared" si="36"/>
        <v>4130890.3104200545</v>
      </c>
      <c r="T195" s="657">
        <f t="shared" si="40"/>
        <v>6784034.0366347786</v>
      </c>
      <c r="V195" s="665">
        <f t="shared" si="41"/>
        <v>17215.761971827582</v>
      </c>
      <c r="W195" s="590">
        <f t="shared" si="37"/>
        <v>12588885.884565402</v>
      </c>
      <c r="X195" s="589" t="b">
        <f t="shared" si="38"/>
        <v>1</v>
      </c>
    </row>
    <row r="196" spans="9:24" ht="16.5" hidden="1" customHeight="1">
      <c r="I196" s="589">
        <v>194</v>
      </c>
      <c r="J196" s="654">
        <f t="shared" si="42"/>
        <v>62117.38548147284</v>
      </c>
      <c r="K196" s="655">
        <f t="shared" si="43"/>
        <v>-5604.1996780716527</v>
      </c>
      <c r="L196" s="654">
        <f t="shared" ref="L196:L259" si="46">J196-K196</f>
        <v>67721.585159544498</v>
      </c>
      <c r="M196" s="656">
        <f t="shared" ref="M196:M259" si="47">M195-L196</f>
        <v>-908351.53687029227</v>
      </c>
      <c r="N196" s="657">
        <f t="shared" si="39"/>
        <v>4642421.2465354353</v>
      </c>
      <c r="O196" s="589">
        <f t="shared" ref="O196:O259" si="48">O195+1</f>
        <v>218</v>
      </c>
      <c r="P196" s="654">
        <f t="shared" si="44"/>
        <v>44901.623509645258</v>
      </c>
      <c r="Q196" s="664">
        <f t="shared" si="45"/>
        <v>27539.268736133698</v>
      </c>
      <c r="R196" s="654">
        <f t="shared" ref="R196:R259" si="49">P196-Q196</f>
        <v>17362.354773511561</v>
      </c>
      <c r="S196" s="656">
        <f t="shared" ref="S196:S259" si="50">S195-R196</f>
        <v>4113527.9556465428</v>
      </c>
      <c r="T196" s="657">
        <f t="shared" si="40"/>
        <v>6811573.305370912</v>
      </c>
      <c r="V196" s="665">
        <f t="shared" si="41"/>
        <v>17215.761971827582</v>
      </c>
      <c r="W196" s="590">
        <f t="shared" ref="W196:W259" si="51">FV((1+Scenario1)^(1/12)-1,1,-V196,-W195,1)</f>
        <v>12753781.080009639</v>
      </c>
      <c r="X196" s="589" t="b">
        <f t="shared" ref="X196:X259" si="52">W196&gt;=S196</f>
        <v>1</v>
      </c>
    </row>
    <row r="197" spans="9:24" ht="16.5" hidden="1" customHeight="1">
      <c r="I197" s="589">
        <v>195</v>
      </c>
      <c r="J197" s="654">
        <f t="shared" si="42"/>
        <v>62117.38548147284</v>
      </c>
      <c r="K197" s="655">
        <f t="shared" si="43"/>
        <v>-6055.6769124686152</v>
      </c>
      <c r="L197" s="654">
        <f t="shared" si="46"/>
        <v>68173.062393941451</v>
      </c>
      <c r="M197" s="656">
        <f t="shared" si="47"/>
        <v>-976524.59926423372</v>
      </c>
      <c r="N197" s="657">
        <f t="shared" ref="N197:N260" si="53">N196+K197</f>
        <v>4636365.5696229665</v>
      </c>
      <c r="O197" s="589">
        <f t="shared" si="48"/>
        <v>219</v>
      </c>
      <c r="P197" s="654">
        <f t="shared" si="44"/>
        <v>44901.623509645258</v>
      </c>
      <c r="Q197" s="664">
        <f t="shared" si="45"/>
        <v>27423.519704310289</v>
      </c>
      <c r="R197" s="654">
        <f t="shared" si="49"/>
        <v>17478.103805334969</v>
      </c>
      <c r="S197" s="656">
        <f t="shared" si="50"/>
        <v>4096049.8518412081</v>
      </c>
      <c r="T197" s="657">
        <f t="shared" ref="T197:T260" si="54">T196+Q197</f>
        <v>6838996.8250752222</v>
      </c>
      <c r="V197" s="665">
        <f t="shared" ref="V197:V260" si="55">V196</f>
        <v>17215.761971827582</v>
      </c>
      <c r="W197" s="590">
        <f t="shared" si="51"/>
        <v>12920608.008968988</v>
      </c>
      <c r="X197" s="589" t="b">
        <f t="shared" si="52"/>
        <v>1</v>
      </c>
    </row>
    <row r="198" spans="9:24" ht="16.5" hidden="1" customHeight="1">
      <c r="I198" s="589">
        <v>196</v>
      </c>
      <c r="J198" s="654">
        <f t="shared" si="42"/>
        <v>62117.38548147284</v>
      </c>
      <c r="K198" s="655">
        <f t="shared" si="43"/>
        <v>-6510.163995094892</v>
      </c>
      <c r="L198" s="654">
        <f t="shared" si="46"/>
        <v>68627.549476567729</v>
      </c>
      <c r="M198" s="656">
        <f t="shared" si="47"/>
        <v>-1045152.1487408015</v>
      </c>
      <c r="N198" s="657">
        <f t="shared" si="53"/>
        <v>4629855.4056278719</v>
      </c>
      <c r="O198" s="589">
        <f t="shared" si="48"/>
        <v>220</v>
      </c>
      <c r="P198" s="654">
        <f t="shared" si="44"/>
        <v>44901.623509645258</v>
      </c>
      <c r="Q198" s="664">
        <f t="shared" si="45"/>
        <v>27306.999012274722</v>
      </c>
      <c r="R198" s="654">
        <f t="shared" si="49"/>
        <v>17594.624497370536</v>
      </c>
      <c r="S198" s="656">
        <f t="shared" si="50"/>
        <v>4078455.2273438377</v>
      </c>
      <c r="T198" s="657">
        <f t="shared" si="54"/>
        <v>6866303.8240874968</v>
      </c>
      <c r="V198" s="665">
        <f t="shared" si="55"/>
        <v>17215.761971827582</v>
      </c>
      <c r="W198" s="590">
        <f t="shared" si="51"/>
        <v>13089389.301541092</v>
      </c>
      <c r="X198" s="589" t="b">
        <f t="shared" si="52"/>
        <v>1</v>
      </c>
    </row>
    <row r="199" spans="9:24" ht="16.5" hidden="1" customHeight="1">
      <c r="I199" s="589">
        <v>197</v>
      </c>
      <c r="J199" s="654">
        <f t="shared" si="42"/>
        <v>62117.38548147284</v>
      </c>
      <c r="K199" s="655">
        <f t="shared" si="43"/>
        <v>-6967.6809916053435</v>
      </c>
      <c r="L199" s="654">
        <f t="shared" si="46"/>
        <v>69085.066473078186</v>
      </c>
      <c r="M199" s="656">
        <f t="shared" si="47"/>
        <v>-1114237.2152138797</v>
      </c>
      <c r="N199" s="657">
        <f t="shared" si="53"/>
        <v>4622887.7246362669</v>
      </c>
      <c r="O199" s="589">
        <f t="shared" si="48"/>
        <v>221</v>
      </c>
      <c r="P199" s="654">
        <f t="shared" si="44"/>
        <v>44901.623509645258</v>
      </c>
      <c r="Q199" s="664">
        <f t="shared" si="45"/>
        <v>27189.701515625587</v>
      </c>
      <c r="R199" s="654">
        <f t="shared" si="49"/>
        <v>17711.921994019671</v>
      </c>
      <c r="S199" s="656">
        <f t="shared" si="50"/>
        <v>4060743.305349818</v>
      </c>
      <c r="T199" s="657">
        <f t="shared" si="54"/>
        <v>6893493.5256031221</v>
      </c>
      <c r="V199" s="665">
        <f t="shared" si="55"/>
        <v>17215.761971827582</v>
      </c>
      <c r="W199" s="590">
        <f t="shared" si="51"/>
        <v>13260147.852933303</v>
      </c>
      <c r="X199" s="589" t="b">
        <f t="shared" si="52"/>
        <v>1</v>
      </c>
    </row>
    <row r="200" spans="9:24" ht="16.5" hidden="1" customHeight="1">
      <c r="I200" s="589">
        <v>198</v>
      </c>
      <c r="J200" s="654">
        <f t="shared" si="42"/>
        <v>62117.38548147284</v>
      </c>
      <c r="K200" s="655">
        <f t="shared" si="43"/>
        <v>-7428.2481014258656</v>
      </c>
      <c r="L200" s="654">
        <f t="shared" si="46"/>
        <v>69545.633582898707</v>
      </c>
      <c r="M200" s="656">
        <f t="shared" si="47"/>
        <v>-1183782.8487967784</v>
      </c>
      <c r="N200" s="657">
        <f t="shared" si="53"/>
        <v>4615459.4765348407</v>
      </c>
      <c r="O200" s="589">
        <f t="shared" si="48"/>
        <v>222</v>
      </c>
      <c r="P200" s="654">
        <f t="shared" si="44"/>
        <v>44901.623509645258</v>
      </c>
      <c r="Q200" s="664">
        <f t="shared" si="45"/>
        <v>27071.622035665456</v>
      </c>
      <c r="R200" s="654">
        <f t="shared" si="49"/>
        <v>17830.001473979803</v>
      </c>
      <c r="S200" s="656">
        <f t="shared" si="50"/>
        <v>4042913.3038758379</v>
      </c>
      <c r="T200" s="657">
        <f t="shared" si="54"/>
        <v>6920565.1476387875</v>
      </c>
      <c r="V200" s="665">
        <f t="shared" si="55"/>
        <v>17215.761971827582</v>
      </c>
      <c r="W200" s="590">
        <f t="shared" si="51"/>
        <v>13432906.826568427</v>
      </c>
      <c r="X200" s="589" t="b">
        <f t="shared" si="52"/>
        <v>1</v>
      </c>
    </row>
    <row r="201" spans="9:24" ht="16.5" hidden="1" customHeight="1">
      <c r="I201" s="589">
        <v>199</v>
      </c>
      <c r="J201" s="654">
        <f t="shared" si="42"/>
        <v>62117.38548147284</v>
      </c>
      <c r="K201" s="655">
        <f t="shared" si="43"/>
        <v>-7891.8856586451893</v>
      </c>
      <c r="L201" s="654">
        <f t="shared" si="46"/>
        <v>70009.271140118028</v>
      </c>
      <c r="M201" s="656">
        <f t="shared" si="47"/>
        <v>-1253792.1199368965</v>
      </c>
      <c r="N201" s="657">
        <f t="shared" si="53"/>
        <v>4607567.5908761956</v>
      </c>
      <c r="O201" s="589">
        <f t="shared" si="48"/>
        <v>223</v>
      </c>
      <c r="P201" s="654">
        <f t="shared" si="44"/>
        <v>44901.623509645258</v>
      </c>
      <c r="Q201" s="664">
        <f t="shared" si="45"/>
        <v>26952.755359172254</v>
      </c>
      <c r="R201" s="654">
        <f t="shared" si="49"/>
        <v>17948.868150473005</v>
      </c>
      <c r="S201" s="656">
        <f t="shared" si="50"/>
        <v>4024964.4357253648</v>
      </c>
      <c r="T201" s="657">
        <f t="shared" si="54"/>
        <v>6947517.9029979594</v>
      </c>
      <c r="V201" s="665">
        <f t="shared" si="55"/>
        <v>17215.761971827582</v>
      </c>
      <c r="W201" s="590">
        <f t="shared" si="51"/>
        <v>13607689.657226846</v>
      </c>
      <c r="X201" s="589" t="b">
        <f t="shared" si="52"/>
        <v>1</v>
      </c>
    </row>
    <row r="202" spans="9:24" ht="16.5" hidden="1" customHeight="1">
      <c r="I202" s="589">
        <v>200</v>
      </c>
      <c r="J202" s="654">
        <f t="shared" si="42"/>
        <v>62117.38548147284</v>
      </c>
      <c r="K202" s="655">
        <f t="shared" si="43"/>
        <v>-8358.614132912644</v>
      </c>
      <c r="L202" s="654">
        <f t="shared" si="46"/>
        <v>70475.999614385481</v>
      </c>
      <c r="M202" s="656">
        <f t="shared" si="47"/>
        <v>-1324268.1195512819</v>
      </c>
      <c r="N202" s="657">
        <f t="shared" si="53"/>
        <v>4599208.9767432828</v>
      </c>
      <c r="O202" s="589">
        <f t="shared" si="48"/>
        <v>224</v>
      </c>
      <c r="P202" s="654">
        <f t="shared" si="44"/>
        <v>44901.623509645258</v>
      </c>
      <c r="Q202" s="664">
        <f t="shared" si="45"/>
        <v>26833.096238169099</v>
      </c>
      <c r="R202" s="654">
        <f t="shared" si="49"/>
        <v>18068.52727147616</v>
      </c>
      <c r="S202" s="656">
        <f t="shared" si="50"/>
        <v>4006895.9084538887</v>
      </c>
      <c r="T202" s="657">
        <f t="shared" si="54"/>
        <v>6974350.9992361283</v>
      </c>
      <c r="V202" s="665">
        <f t="shared" si="55"/>
        <v>17215.761971827582</v>
      </c>
      <c r="W202" s="590">
        <f t="shared" si="51"/>
        <v>13784520.054225445</v>
      </c>
      <c r="X202" s="589" t="b">
        <f t="shared" si="52"/>
        <v>1</v>
      </c>
    </row>
    <row r="203" spans="9:24" ht="16.5" hidden="1" customHeight="1">
      <c r="I203" s="589">
        <v>201</v>
      </c>
      <c r="J203" s="654">
        <f t="shared" si="42"/>
        <v>62117.38548147284</v>
      </c>
      <c r="K203" s="655">
        <f t="shared" si="43"/>
        <v>-8828.4541303418791</v>
      </c>
      <c r="L203" s="654">
        <f t="shared" si="46"/>
        <v>70945.839611814721</v>
      </c>
      <c r="M203" s="656">
        <f t="shared" si="47"/>
        <v>-1395213.9591630967</v>
      </c>
      <c r="N203" s="657">
        <f t="shared" si="53"/>
        <v>4590380.5226129405</v>
      </c>
      <c r="O203" s="589">
        <f t="shared" si="48"/>
        <v>225</v>
      </c>
      <c r="P203" s="654">
        <f t="shared" si="44"/>
        <v>44901.623509645258</v>
      </c>
      <c r="Q203" s="664">
        <f t="shared" si="45"/>
        <v>26712.639389692595</v>
      </c>
      <c r="R203" s="654">
        <f t="shared" si="49"/>
        <v>18188.984119952664</v>
      </c>
      <c r="S203" s="656">
        <f t="shared" si="50"/>
        <v>3988706.9243339361</v>
      </c>
      <c r="T203" s="657">
        <f t="shared" si="54"/>
        <v>7001063.6386258211</v>
      </c>
      <c r="V203" s="665">
        <f t="shared" si="55"/>
        <v>17215.761971827582</v>
      </c>
      <c r="W203" s="590">
        <f t="shared" si="51"/>
        <v>13963422.004633788</v>
      </c>
      <c r="X203" s="589" t="b">
        <f t="shared" si="52"/>
        <v>1</v>
      </c>
    </row>
    <row r="204" spans="9:24" ht="16.5" hidden="1" customHeight="1">
      <c r="I204" s="589">
        <v>202</v>
      </c>
      <c r="J204" s="654">
        <f t="shared" si="42"/>
        <v>62117.38548147284</v>
      </c>
      <c r="K204" s="655">
        <f t="shared" si="43"/>
        <v>-9301.426394420645</v>
      </c>
      <c r="L204" s="654">
        <f t="shared" si="46"/>
        <v>71418.811875893487</v>
      </c>
      <c r="M204" s="656">
        <f t="shared" si="47"/>
        <v>-1466632.7710389902</v>
      </c>
      <c r="N204" s="657">
        <f t="shared" si="53"/>
        <v>4581079.0962185198</v>
      </c>
      <c r="O204" s="589">
        <f t="shared" si="48"/>
        <v>226</v>
      </c>
      <c r="P204" s="654">
        <f t="shared" si="44"/>
        <v>44901.623509645258</v>
      </c>
      <c r="Q204" s="664">
        <f t="shared" si="45"/>
        <v>26591.379495559577</v>
      </c>
      <c r="R204" s="654">
        <f t="shared" si="49"/>
        <v>18310.244014085682</v>
      </c>
      <c r="S204" s="656">
        <f t="shared" si="50"/>
        <v>3970396.6803198503</v>
      </c>
      <c r="T204" s="657">
        <f t="shared" si="54"/>
        <v>7027655.0181213804</v>
      </c>
      <c r="V204" s="665">
        <f t="shared" si="55"/>
        <v>17215.761971827582</v>
      </c>
      <c r="W204" s="590">
        <f t="shared" si="51"/>
        <v>14144419.776527964</v>
      </c>
      <c r="X204" s="589" t="b">
        <f t="shared" si="52"/>
        <v>1</v>
      </c>
    </row>
    <row r="205" spans="9:24" ht="16.5" hidden="1" customHeight="1">
      <c r="I205" s="589">
        <v>203</v>
      </c>
      <c r="J205" s="654">
        <f t="shared" si="42"/>
        <v>62117.38548147284</v>
      </c>
      <c r="K205" s="655">
        <f t="shared" si="43"/>
        <v>-9777.5518069266018</v>
      </c>
      <c r="L205" s="654">
        <f t="shared" si="46"/>
        <v>71894.937288399437</v>
      </c>
      <c r="M205" s="656">
        <f t="shared" si="47"/>
        <v>-1538527.7083273898</v>
      </c>
      <c r="N205" s="657">
        <f t="shared" si="53"/>
        <v>4571301.5444115931</v>
      </c>
      <c r="O205" s="589">
        <f t="shared" si="48"/>
        <v>227</v>
      </c>
      <c r="P205" s="654">
        <f t="shared" si="44"/>
        <v>44901.623509645258</v>
      </c>
      <c r="Q205" s="664">
        <f t="shared" si="45"/>
        <v>26469.311202132336</v>
      </c>
      <c r="R205" s="654">
        <f t="shared" si="49"/>
        <v>18432.312307512922</v>
      </c>
      <c r="S205" s="656">
        <f t="shared" si="50"/>
        <v>3951964.3680123375</v>
      </c>
      <c r="T205" s="657">
        <f t="shared" si="54"/>
        <v>7054124.3293235125</v>
      </c>
      <c r="V205" s="665">
        <f t="shared" si="55"/>
        <v>17215.761971827582</v>
      </c>
      <c r="W205" s="590">
        <f t="shared" si="51"/>
        <v>14327537.922282558</v>
      </c>
      <c r="X205" s="589" t="b">
        <f t="shared" si="52"/>
        <v>1</v>
      </c>
    </row>
    <row r="206" spans="9:24" ht="16.5" hidden="1" customHeight="1">
      <c r="I206" s="589">
        <v>204</v>
      </c>
      <c r="J206" s="654">
        <f t="shared" si="42"/>
        <v>62117.38548147284</v>
      </c>
      <c r="K206" s="655">
        <f t="shared" si="43"/>
        <v>-10256.851388849265</v>
      </c>
      <c r="L206" s="654">
        <f t="shared" si="46"/>
        <v>72374.2368703221</v>
      </c>
      <c r="M206" s="656">
        <f t="shared" si="47"/>
        <v>-1610901.9451977119</v>
      </c>
      <c r="N206" s="657">
        <f t="shared" si="53"/>
        <v>4561044.6930227438</v>
      </c>
      <c r="O206" s="589">
        <f t="shared" si="48"/>
        <v>228</v>
      </c>
      <c r="P206" s="654">
        <f t="shared" si="44"/>
        <v>44901.623509645258</v>
      </c>
      <c r="Q206" s="664">
        <f t="shared" si="45"/>
        <v>26346.429120082252</v>
      </c>
      <c r="R206" s="654">
        <f t="shared" si="49"/>
        <v>18555.194389563007</v>
      </c>
      <c r="S206" s="656">
        <f t="shared" si="50"/>
        <v>3933409.1736227744</v>
      </c>
      <c r="T206" s="657">
        <f t="shared" si="54"/>
        <v>7080470.7584435949</v>
      </c>
      <c r="V206" s="665">
        <f t="shared" si="55"/>
        <v>17215.761971827582</v>
      </c>
      <c r="W206" s="590">
        <f t="shared" si="51"/>
        <v>14512801.281901186</v>
      </c>
      <c r="X206" s="589" t="b">
        <f t="shared" si="52"/>
        <v>1</v>
      </c>
    </row>
    <row r="207" spans="9:24" ht="16.5" hidden="1" customHeight="1">
      <c r="I207" s="589">
        <v>205</v>
      </c>
      <c r="J207" s="654">
        <f t="shared" si="42"/>
        <v>62117.38548147284</v>
      </c>
      <c r="K207" s="655">
        <f t="shared" si="43"/>
        <v>-10739.346301318081</v>
      </c>
      <c r="L207" s="654">
        <f t="shared" si="46"/>
        <v>72856.731782790914</v>
      </c>
      <c r="M207" s="656">
        <f t="shared" si="47"/>
        <v>-1683758.6769805029</v>
      </c>
      <c r="N207" s="657">
        <f t="shared" si="53"/>
        <v>4550305.3467214257</v>
      </c>
      <c r="O207" s="589">
        <f t="shared" si="48"/>
        <v>229</v>
      </c>
      <c r="P207" s="654">
        <f t="shared" si="44"/>
        <v>44901.623509645258</v>
      </c>
      <c r="Q207" s="664">
        <f t="shared" si="45"/>
        <v>26222.727824151832</v>
      </c>
      <c r="R207" s="654">
        <f t="shared" si="49"/>
        <v>18678.895685493426</v>
      </c>
      <c r="S207" s="656">
        <f t="shared" si="50"/>
        <v>3914730.2779372809</v>
      </c>
      <c r="T207" s="657">
        <f t="shared" si="54"/>
        <v>7106693.4862677464</v>
      </c>
      <c r="V207" s="665">
        <f t="shared" si="55"/>
        <v>17215.761971827582</v>
      </c>
      <c r="W207" s="590">
        <f t="shared" si="51"/>
        <v>14700234.986386038</v>
      </c>
      <c r="X207" s="589" t="b">
        <f t="shared" si="52"/>
        <v>1</v>
      </c>
    </row>
    <row r="208" spans="9:24" ht="16.5" hidden="1" customHeight="1">
      <c r="I208" s="589">
        <v>206</v>
      </c>
      <c r="J208" s="654">
        <f t="shared" si="42"/>
        <v>62117.38548147284</v>
      </c>
      <c r="K208" s="655">
        <f t="shared" si="43"/>
        <v>-11225.057846536687</v>
      </c>
      <c r="L208" s="654">
        <f t="shared" si="46"/>
        <v>73342.443328009525</v>
      </c>
      <c r="M208" s="656">
        <f t="shared" si="47"/>
        <v>-1757101.1203085124</v>
      </c>
      <c r="N208" s="657">
        <f t="shared" si="53"/>
        <v>4539080.2888748888</v>
      </c>
      <c r="O208" s="589">
        <f t="shared" si="48"/>
        <v>230</v>
      </c>
      <c r="P208" s="654">
        <f t="shared" si="44"/>
        <v>44901.623509645258</v>
      </c>
      <c r="Q208" s="664">
        <f t="shared" si="45"/>
        <v>26098.201852915208</v>
      </c>
      <c r="R208" s="654">
        <f t="shared" si="49"/>
        <v>18803.42165673005</v>
      </c>
      <c r="S208" s="656">
        <f t="shared" si="50"/>
        <v>3895926.8562805508</v>
      </c>
      <c r="T208" s="657">
        <f t="shared" si="54"/>
        <v>7132791.6881206613</v>
      </c>
      <c r="V208" s="665">
        <f t="shared" si="55"/>
        <v>17215.761971827582</v>
      </c>
      <c r="W208" s="590">
        <f t="shared" si="51"/>
        <v>14889864.461146912</v>
      </c>
      <c r="X208" s="589" t="b">
        <f t="shared" si="52"/>
        <v>1</v>
      </c>
    </row>
    <row r="209" spans="9:24" ht="16.5" hidden="1" customHeight="1">
      <c r="I209" s="589">
        <v>207</v>
      </c>
      <c r="J209" s="654">
        <f t="shared" si="42"/>
        <v>62117.38548147284</v>
      </c>
      <c r="K209" s="655">
        <f t="shared" si="43"/>
        <v>-11714.007468723417</v>
      </c>
      <c r="L209" s="654">
        <f t="shared" si="46"/>
        <v>73831.392950196256</v>
      </c>
      <c r="M209" s="656">
        <f t="shared" si="47"/>
        <v>-1830932.5132587086</v>
      </c>
      <c r="N209" s="657">
        <f t="shared" si="53"/>
        <v>4527366.2814061651</v>
      </c>
      <c r="O209" s="589">
        <f t="shared" si="48"/>
        <v>231</v>
      </c>
      <c r="P209" s="654">
        <f t="shared" si="44"/>
        <v>44901.623509645258</v>
      </c>
      <c r="Q209" s="664">
        <f t="shared" si="45"/>
        <v>25972.845708537006</v>
      </c>
      <c r="R209" s="654">
        <f t="shared" si="49"/>
        <v>18928.777801108252</v>
      </c>
      <c r="S209" s="656">
        <f t="shared" si="50"/>
        <v>3876998.0784794427</v>
      </c>
      <c r="T209" s="657">
        <f t="shared" si="54"/>
        <v>7158764.5338291982</v>
      </c>
      <c r="V209" s="665">
        <f t="shared" si="55"/>
        <v>17215.761971827582</v>
      </c>
      <c r="W209" s="590">
        <f t="shared" si="51"/>
        <v>15081715.429450164</v>
      </c>
      <c r="X209" s="589" t="b">
        <f t="shared" si="52"/>
        <v>1</v>
      </c>
    </row>
    <row r="210" spans="9:24" ht="16.5" hidden="1" customHeight="1">
      <c r="I210" s="589">
        <v>208</v>
      </c>
      <c r="J210" s="654">
        <f t="shared" si="42"/>
        <v>62117.38548147284</v>
      </c>
      <c r="K210" s="655">
        <f t="shared" si="43"/>
        <v>-12206.216755058058</v>
      </c>
      <c r="L210" s="654">
        <f t="shared" si="46"/>
        <v>74323.602236530904</v>
      </c>
      <c r="M210" s="656">
        <f t="shared" si="47"/>
        <v>-1905256.1154952396</v>
      </c>
      <c r="N210" s="657">
        <f t="shared" si="53"/>
        <v>4515160.0646511074</v>
      </c>
      <c r="O210" s="589">
        <f t="shared" si="48"/>
        <v>232</v>
      </c>
      <c r="P210" s="654">
        <f t="shared" si="44"/>
        <v>44901.623509645258</v>
      </c>
      <c r="Q210" s="664">
        <f t="shared" si="45"/>
        <v>25846.653856529621</v>
      </c>
      <c r="R210" s="654">
        <f t="shared" si="49"/>
        <v>19054.969653115637</v>
      </c>
      <c r="S210" s="656">
        <f t="shared" si="50"/>
        <v>3857943.1088263271</v>
      </c>
      <c r="T210" s="657">
        <f t="shared" si="54"/>
        <v>7184611.1876857281</v>
      </c>
      <c r="V210" s="665">
        <f t="shared" si="55"/>
        <v>17215.761971827582</v>
      </c>
      <c r="W210" s="590">
        <f t="shared" si="51"/>
        <v>15275813.915908081</v>
      </c>
      <c r="X210" s="589" t="b">
        <f t="shared" si="52"/>
        <v>1</v>
      </c>
    </row>
    <row r="211" spans="9:24" ht="16.5" hidden="1" customHeight="1">
      <c r="I211" s="589">
        <v>209</v>
      </c>
      <c r="J211" s="654">
        <f t="shared" si="42"/>
        <v>62117.38548147284</v>
      </c>
      <c r="K211" s="655">
        <f t="shared" si="43"/>
        <v>-12701.707436634932</v>
      </c>
      <c r="L211" s="654">
        <f t="shared" si="46"/>
        <v>74819.092918107766</v>
      </c>
      <c r="M211" s="656">
        <f t="shared" si="47"/>
        <v>-1980075.2084133474</v>
      </c>
      <c r="N211" s="657">
        <f t="shared" si="53"/>
        <v>4502458.3572144723</v>
      </c>
      <c r="O211" s="589">
        <f t="shared" si="48"/>
        <v>233</v>
      </c>
      <c r="P211" s="654">
        <f t="shared" si="44"/>
        <v>44901.623509645258</v>
      </c>
      <c r="Q211" s="664">
        <f t="shared" si="45"/>
        <v>25719.620725508848</v>
      </c>
      <c r="R211" s="654">
        <f t="shared" si="49"/>
        <v>19182.00278413641</v>
      </c>
      <c r="S211" s="656">
        <f t="shared" si="50"/>
        <v>3838761.1060421909</v>
      </c>
      <c r="T211" s="657">
        <f t="shared" si="54"/>
        <v>7210330.8084112369</v>
      </c>
      <c r="V211" s="665">
        <f t="shared" si="55"/>
        <v>17215.761971827582</v>
      </c>
      <c r="W211" s="590">
        <f t="shared" si="51"/>
        <v>15472186.250009123</v>
      </c>
      <c r="X211" s="589" t="b">
        <f t="shared" si="52"/>
        <v>1</v>
      </c>
    </row>
    <row r="212" spans="9:24" ht="16.5" hidden="1" customHeight="1">
      <c r="I212" s="589">
        <v>210</v>
      </c>
      <c r="J212" s="654">
        <f t="shared" si="42"/>
        <v>62117.38548147284</v>
      </c>
      <c r="K212" s="655">
        <f t="shared" si="43"/>
        <v>-13200.501389422318</v>
      </c>
      <c r="L212" s="654">
        <f t="shared" si="46"/>
        <v>75317.886870895163</v>
      </c>
      <c r="M212" s="656">
        <f t="shared" si="47"/>
        <v>-2055393.0952842426</v>
      </c>
      <c r="N212" s="657">
        <f t="shared" si="53"/>
        <v>4489257.8558250498</v>
      </c>
      <c r="O212" s="589">
        <f t="shared" si="48"/>
        <v>234</v>
      </c>
      <c r="P212" s="654">
        <f t="shared" si="44"/>
        <v>44901.623509645258</v>
      </c>
      <c r="Q212" s="664">
        <f t="shared" si="45"/>
        <v>25591.740706947941</v>
      </c>
      <c r="R212" s="654">
        <f t="shared" si="49"/>
        <v>19309.882802697317</v>
      </c>
      <c r="S212" s="656">
        <f t="shared" si="50"/>
        <v>3819451.2232394936</v>
      </c>
      <c r="T212" s="657">
        <f t="shared" si="54"/>
        <v>7235922.5491181845</v>
      </c>
      <c r="V212" s="665">
        <f t="shared" si="55"/>
        <v>17215.761971827582</v>
      </c>
      <c r="W212" s="590">
        <f t="shared" si="51"/>
        <v>15670859.069689516</v>
      </c>
      <c r="X212" s="589" t="b">
        <f t="shared" si="52"/>
        <v>1</v>
      </c>
    </row>
    <row r="213" spans="9:24" ht="16.5" hidden="1" customHeight="1">
      <c r="I213" s="589">
        <v>211</v>
      </c>
      <c r="J213" s="654">
        <f t="shared" si="42"/>
        <v>62117.38548147284</v>
      </c>
      <c r="K213" s="655">
        <f t="shared" si="43"/>
        <v>-13702.620635228284</v>
      </c>
      <c r="L213" s="654">
        <f t="shared" si="46"/>
        <v>75820.00611670113</v>
      </c>
      <c r="M213" s="656">
        <f t="shared" si="47"/>
        <v>-2131213.1014009439</v>
      </c>
      <c r="N213" s="657">
        <f t="shared" si="53"/>
        <v>4475555.2351898216</v>
      </c>
      <c r="O213" s="589">
        <f t="shared" si="48"/>
        <v>235</v>
      </c>
      <c r="P213" s="654">
        <f t="shared" si="44"/>
        <v>44901.623509645258</v>
      </c>
      <c r="Q213" s="664">
        <f t="shared" si="45"/>
        <v>25463.008154929958</v>
      </c>
      <c r="R213" s="654">
        <f t="shared" si="49"/>
        <v>19438.615354715301</v>
      </c>
      <c r="S213" s="656">
        <f t="shared" si="50"/>
        <v>3800012.6078847782</v>
      </c>
      <c r="T213" s="657">
        <f t="shared" si="54"/>
        <v>7261385.5572731141</v>
      </c>
      <c r="V213" s="665">
        <f t="shared" si="55"/>
        <v>17215.761971827582</v>
      </c>
      <c r="W213" s="590">
        <f t="shared" si="51"/>
        <v>15871859.324946698</v>
      </c>
      <c r="X213" s="589" t="b">
        <f t="shared" si="52"/>
        <v>1</v>
      </c>
    </row>
    <row r="214" spans="9:24" ht="16.5" hidden="1" customHeight="1">
      <c r="I214" s="589">
        <v>212</v>
      </c>
      <c r="J214" s="654">
        <f t="shared" si="42"/>
        <v>62117.38548147284</v>
      </c>
      <c r="K214" s="655">
        <f t="shared" si="43"/>
        <v>-14208.087342672961</v>
      </c>
      <c r="L214" s="654">
        <f t="shared" si="46"/>
        <v>76325.472824145807</v>
      </c>
      <c r="M214" s="656">
        <f t="shared" si="47"/>
        <v>-2207538.5742250895</v>
      </c>
      <c r="N214" s="657">
        <f t="shared" si="53"/>
        <v>4461347.1478471486</v>
      </c>
      <c r="O214" s="589">
        <f t="shared" si="48"/>
        <v>236</v>
      </c>
      <c r="P214" s="654">
        <f t="shared" si="44"/>
        <v>44901.623509645258</v>
      </c>
      <c r="Q214" s="664">
        <f t="shared" si="45"/>
        <v>25333.417385898523</v>
      </c>
      <c r="R214" s="654">
        <f t="shared" si="49"/>
        <v>19568.206123746735</v>
      </c>
      <c r="S214" s="656">
        <f t="shared" si="50"/>
        <v>3780444.4017610312</v>
      </c>
      <c r="T214" s="657">
        <f t="shared" si="54"/>
        <v>7286718.9746590126</v>
      </c>
      <c r="V214" s="665">
        <f t="shared" si="55"/>
        <v>17215.761971827582</v>
      </c>
      <c r="W214" s="590">
        <f t="shared" si="51"/>
        <v>16075214.281495087</v>
      </c>
      <c r="X214" s="589" t="b">
        <f t="shared" si="52"/>
        <v>1</v>
      </c>
    </row>
    <row r="215" spans="9:24" ht="16.5" hidden="1" customHeight="1">
      <c r="I215" s="589">
        <v>213</v>
      </c>
      <c r="J215" s="654">
        <f t="shared" si="42"/>
        <v>62117.38548147284</v>
      </c>
      <c r="K215" s="655">
        <f t="shared" si="43"/>
        <v>-14716.923828167264</v>
      </c>
      <c r="L215" s="654">
        <f t="shared" si="46"/>
        <v>76834.309309640099</v>
      </c>
      <c r="M215" s="656">
        <f t="shared" si="47"/>
        <v>-2284372.8835347295</v>
      </c>
      <c r="N215" s="657">
        <f t="shared" si="53"/>
        <v>4446630.2240189817</v>
      </c>
      <c r="O215" s="589">
        <f t="shared" si="48"/>
        <v>237</v>
      </c>
      <c r="P215" s="654">
        <f t="shared" si="44"/>
        <v>44901.623509645258</v>
      </c>
      <c r="Q215" s="664">
        <f t="shared" si="45"/>
        <v>25202.962678406875</v>
      </c>
      <c r="R215" s="654">
        <f t="shared" si="49"/>
        <v>19698.660831238383</v>
      </c>
      <c r="S215" s="656">
        <f t="shared" si="50"/>
        <v>3760745.7409297926</v>
      </c>
      <c r="T215" s="657">
        <f t="shared" si="54"/>
        <v>7311921.9373374199</v>
      </c>
      <c r="V215" s="665">
        <f t="shared" si="55"/>
        <v>17215.761971827582</v>
      </c>
      <c r="W215" s="590">
        <f t="shared" si="51"/>
        <v>16280951.524464682</v>
      </c>
      <c r="X215" s="589" t="b">
        <f t="shared" si="52"/>
        <v>1</v>
      </c>
    </row>
    <row r="216" spans="9:24" ht="16.5" hidden="1" customHeight="1">
      <c r="I216" s="589">
        <v>214</v>
      </c>
      <c r="J216" s="654">
        <f t="shared" si="42"/>
        <v>62117.38548147284</v>
      </c>
      <c r="K216" s="655">
        <f t="shared" si="43"/>
        <v>-15229.152556898198</v>
      </c>
      <c r="L216" s="654">
        <f t="shared" si="46"/>
        <v>77346.538038371044</v>
      </c>
      <c r="M216" s="656">
        <f t="shared" si="47"/>
        <v>-2361719.4215731006</v>
      </c>
      <c r="N216" s="657">
        <f t="shared" si="53"/>
        <v>4431401.0714620836</v>
      </c>
      <c r="O216" s="589">
        <f t="shared" si="48"/>
        <v>238</v>
      </c>
      <c r="P216" s="654">
        <f t="shared" si="44"/>
        <v>44901.623509645258</v>
      </c>
      <c r="Q216" s="664">
        <f t="shared" si="45"/>
        <v>25071.638272865286</v>
      </c>
      <c r="R216" s="654">
        <f t="shared" si="49"/>
        <v>19829.985236779972</v>
      </c>
      <c r="S216" s="656">
        <f t="shared" si="50"/>
        <v>3740915.7556930128</v>
      </c>
      <c r="T216" s="657">
        <f t="shared" si="54"/>
        <v>7336993.5756102856</v>
      </c>
      <c r="V216" s="665">
        <f t="shared" si="55"/>
        <v>17215.761971827582</v>
      </c>
      <c r="W216" s="590">
        <f t="shared" si="51"/>
        <v>16489098.962142985</v>
      </c>
      <c r="X216" s="589" t="b">
        <f t="shared" si="52"/>
        <v>1</v>
      </c>
    </row>
    <row r="217" spans="9:24" ht="16.5" hidden="1" customHeight="1">
      <c r="I217" s="589">
        <v>215</v>
      </c>
      <c r="J217" s="654">
        <f t="shared" si="42"/>
        <v>62117.38548147284</v>
      </c>
      <c r="K217" s="655">
        <f t="shared" si="43"/>
        <v>-15744.796143820671</v>
      </c>
      <c r="L217" s="654">
        <f t="shared" si="46"/>
        <v>77862.18162529351</v>
      </c>
      <c r="M217" s="656">
        <f t="shared" si="47"/>
        <v>-2439581.6031983942</v>
      </c>
      <c r="N217" s="657">
        <f t="shared" si="53"/>
        <v>4415656.2753182631</v>
      </c>
      <c r="O217" s="589">
        <f t="shared" si="48"/>
        <v>239</v>
      </c>
      <c r="P217" s="654">
        <f t="shared" si="44"/>
        <v>44901.623509645258</v>
      </c>
      <c r="Q217" s="664">
        <f t="shared" si="45"/>
        <v>24939.438371286753</v>
      </c>
      <c r="R217" s="654">
        <f t="shared" si="49"/>
        <v>19962.185138358505</v>
      </c>
      <c r="S217" s="656">
        <f t="shared" si="50"/>
        <v>3720953.5705546541</v>
      </c>
      <c r="T217" s="657">
        <f t="shared" si="54"/>
        <v>7361933.0139815724</v>
      </c>
      <c r="V217" s="665">
        <f t="shared" si="55"/>
        <v>17215.761971827582</v>
      </c>
      <c r="W217" s="590">
        <f t="shared" si="51"/>
        <v>16699684.829760769</v>
      </c>
      <c r="X217" s="589" t="b">
        <f t="shared" si="52"/>
        <v>1</v>
      </c>
    </row>
    <row r="218" spans="9:24" ht="16.5" hidden="1" customHeight="1">
      <c r="I218" s="589">
        <v>216</v>
      </c>
      <c r="J218" s="654">
        <f t="shared" si="42"/>
        <v>62117.38548147284</v>
      </c>
      <c r="K218" s="655">
        <f t="shared" si="43"/>
        <v>-16263.877354655962</v>
      </c>
      <c r="L218" s="654">
        <f t="shared" si="46"/>
        <v>78381.262836128808</v>
      </c>
      <c r="M218" s="656">
        <f t="shared" si="47"/>
        <v>-2517962.8660345231</v>
      </c>
      <c r="N218" s="657">
        <f t="shared" si="53"/>
        <v>4399392.3979636068</v>
      </c>
      <c r="O218" s="589">
        <f t="shared" si="48"/>
        <v>240</v>
      </c>
      <c r="P218" s="654">
        <f t="shared" si="44"/>
        <v>44901.623509645258</v>
      </c>
      <c r="Q218" s="664">
        <f t="shared" si="45"/>
        <v>24806.357137031027</v>
      </c>
      <c r="R218" s="654">
        <f t="shared" si="49"/>
        <v>20095.266372614231</v>
      </c>
      <c r="S218" s="656">
        <f t="shared" si="50"/>
        <v>3700858.30418204</v>
      </c>
      <c r="T218" s="657">
        <f t="shared" si="54"/>
        <v>7386739.3711186033</v>
      </c>
      <c r="V218" s="665">
        <f t="shared" si="55"/>
        <v>17215.761971827582</v>
      </c>
      <c r="W218" s="590">
        <f t="shared" si="51"/>
        <v>16912737.693322193</v>
      </c>
      <c r="X218" s="589" t="b">
        <f t="shared" si="52"/>
        <v>1</v>
      </c>
    </row>
    <row r="219" spans="9:24" ht="16.5" hidden="1" customHeight="1">
      <c r="I219" s="589">
        <v>217</v>
      </c>
      <c r="J219" s="654">
        <f t="shared" si="42"/>
        <v>62117.38548147284</v>
      </c>
      <c r="K219" s="655">
        <f t="shared" si="43"/>
        <v>-16786.419106896821</v>
      </c>
      <c r="L219" s="654">
        <f t="shared" si="46"/>
        <v>78903.804588369661</v>
      </c>
      <c r="M219" s="656">
        <f t="shared" si="47"/>
        <v>-2596866.6706228927</v>
      </c>
      <c r="N219" s="657">
        <f t="shared" si="53"/>
        <v>4382605.9788567098</v>
      </c>
      <c r="O219" s="589">
        <f t="shared" si="48"/>
        <v>241</v>
      </c>
      <c r="P219" s="654">
        <f t="shared" si="44"/>
        <v>44901.623509645258</v>
      </c>
      <c r="Q219" s="664">
        <f t="shared" si="45"/>
        <v>24672.388694546935</v>
      </c>
      <c r="R219" s="654">
        <f t="shared" si="49"/>
        <v>20229.234815098323</v>
      </c>
      <c r="S219" s="656">
        <f t="shared" si="50"/>
        <v>3680629.0693669417</v>
      </c>
      <c r="T219" s="657">
        <f t="shared" si="54"/>
        <v>7411411.7598131504</v>
      </c>
      <c r="V219" s="665">
        <f t="shared" si="55"/>
        <v>17215.761971827582</v>
      </c>
      <c r="W219" s="590">
        <f t="shared" si="51"/>
        <v>17128286.453479774</v>
      </c>
      <c r="X219" s="589" t="b">
        <f t="shared" si="52"/>
        <v>1</v>
      </c>
    </row>
    <row r="220" spans="9:24" ht="16.5" hidden="1" customHeight="1">
      <c r="I220" s="589">
        <v>218</v>
      </c>
      <c r="J220" s="654">
        <f t="shared" si="42"/>
        <v>62117.38548147284</v>
      </c>
      <c r="K220" s="655">
        <f t="shared" si="43"/>
        <v>-17312.444470819286</v>
      </c>
      <c r="L220" s="654">
        <f t="shared" si="46"/>
        <v>79429.82995229213</v>
      </c>
      <c r="M220" s="656">
        <f t="shared" si="47"/>
        <v>-2676296.5005751848</v>
      </c>
      <c r="N220" s="657">
        <f t="shared" si="53"/>
        <v>4365293.5343858907</v>
      </c>
      <c r="O220" s="589">
        <f t="shared" si="48"/>
        <v>242</v>
      </c>
      <c r="P220" s="654">
        <f t="shared" si="44"/>
        <v>44901.623509645258</v>
      </c>
      <c r="Q220" s="664">
        <f t="shared" si="45"/>
        <v>24537.527129112947</v>
      </c>
      <c r="R220" s="654">
        <f t="shared" si="49"/>
        <v>20364.096380532312</v>
      </c>
      <c r="S220" s="656">
        <f t="shared" si="50"/>
        <v>3660264.9729864094</v>
      </c>
      <c r="T220" s="657">
        <f t="shared" si="54"/>
        <v>7435949.2869422631</v>
      </c>
      <c r="V220" s="665">
        <f t="shared" si="55"/>
        <v>17215.761971827582</v>
      </c>
      <c r="W220" s="590">
        <f t="shared" si="51"/>
        <v>17346360.349454779</v>
      </c>
      <c r="X220" s="589" t="b">
        <f t="shared" si="52"/>
        <v>1</v>
      </c>
    </row>
    <row r="221" spans="9:24" ht="16.5" hidden="1" customHeight="1">
      <c r="I221" s="589">
        <v>219</v>
      </c>
      <c r="J221" s="654">
        <f t="shared" si="42"/>
        <v>62117.38548147284</v>
      </c>
      <c r="K221" s="655">
        <f t="shared" si="43"/>
        <v>-17841.976670501233</v>
      </c>
      <c r="L221" s="654">
        <f t="shared" si="46"/>
        <v>79959.36215197407</v>
      </c>
      <c r="M221" s="656">
        <f t="shared" si="47"/>
        <v>-2756255.8627271587</v>
      </c>
      <c r="N221" s="657">
        <f t="shared" si="53"/>
        <v>4347451.5577153899</v>
      </c>
      <c r="O221" s="589">
        <f t="shared" si="48"/>
        <v>243</v>
      </c>
      <c r="P221" s="654">
        <f t="shared" si="44"/>
        <v>44901.623509645258</v>
      </c>
      <c r="Q221" s="664">
        <f t="shared" si="45"/>
        <v>24401.766486576063</v>
      </c>
      <c r="R221" s="654">
        <f t="shared" si="49"/>
        <v>20499.857023069195</v>
      </c>
      <c r="S221" s="656">
        <f t="shared" si="50"/>
        <v>3639765.1159633403</v>
      </c>
      <c r="T221" s="657">
        <f t="shared" si="54"/>
        <v>7460351.053428839</v>
      </c>
      <c r="V221" s="665">
        <f t="shared" si="55"/>
        <v>17215.761971827582</v>
      </c>
      <c r="W221" s="590">
        <f t="shared" si="51"/>
        <v>17566988.96300352</v>
      </c>
      <c r="X221" s="589" t="b">
        <f t="shared" si="52"/>
        <v>1</v>
      </c>
    </row>
    <row r="222" spans="9:24" ht="16.5" hidden="1" customHeight="1">
      <c r="I222" s="589">
        <v>220</v>
      </c>
      <c r="J222" s="654">
        <f t="shared" si="42"/>
        <v>62117.38548147284</v>
      </c>
      <c r="K222" s="655">
        <f t="shared" si="43"/>
        <v>-18375.039084847725</v>
      </c>
      <c r="L222" s="654">
        <f t="shared" si="46"/>
        <v>80492.424566320566</v>
      </c>
      <c r="M222" s="656">
        <f t="shared" si="47"/>
        <v>-2836748.2872934793</v>
      </c>
      <c r="N222" s="657">
        <f t="shared" si="53"/>
        <v>4329076.5186305419</v>
      </c>
      <c r="O222" s="589">
        <f t="shared" si="48"/>
        <v>244</v>
      </c>
      <c r="P222" s="654">
        <f t="shared" si="44"/>
        <v>44901.623509645258</v>
      </c>
      <c r="Q222" s="664">
        <f t="shared" si="45"/>
        <v>24265.100773088936</v>
      </c>
      <c r="R222" s="654">
        <f t="shared" si="49"/>
        <v>20636.522736556322</v>
      </c>
      <c r="S222" s="656">
        <f t="shared" si="50"/>
        <v>3619128.5932267839</v>
      </c>
      <c r="T222" s="657">
        <f t="shared" si="54"/>
        <v>7484616.1542019276</v>
      </c>
      <c r="V222" s="665">
        <f t="shared" si="55"/>
        <v>17215.761971827582</v>
      </c>
      <c r="W222" s="590">
        <f t="shared" si="51"/>
        <v>17790202.222430129</v>
      </c>
      <c r="X222" s="589" t="b">
        <f t="shared" si="52"/>
        <v>1</v>
      </c>
    </row>
    <row r="223" spans="9:24" ht="16.5" hidden="1" customHeight="1">
      <c r="I223" s="589">
        <v>221</v>
      </c>
      <c r="J223" s="654">
        <f t="shared" si="42"/>
        <v>62117.38548147284</v>
      </c>
      <c r="K223" s="655">
        <f t="shared" si="43"/>
        <v>-18911.655248623196</v>
      </c>
      <c r="L223" s="654">
        <f t="shared" si="46"/>
        <v>81029.040730096036</v>
      </c>
      <c r="M223" s="656">
        <f t="shared" si="47"/>
        <v>-2917777.3280235752</v>
      </c>
      <c r="N223" s="657">
        <f t="shared" si="53"/>
        <v>4310164.8633819185</v>
      </c>
      <c r="O223" s="589">
        <f t="shared" si="48"/>
        <v>245</v>
      </c>
      <c r="P223" s="654">
        <f t="shared" si="44"/>
        <v>44901.623509645258</v>
      </c>
      <c r="Q223" s="664">
        <f t="shared" si="45"/>
        <v>24127.523954845226</v>
      </c>
      <c r="R223" s="654">
        <f t="shared" si="49"/>
        <v>20774.099554800032</v>
      </c>
      <c r="S223" s="656">
        <f t="shared" si="50"/>
        <v>3598354.4936719839</v>
      </c>
      <c r="T223" s="657">
        <f t="shared" si="54"/>
        <v>7508743.6781567726</v>
      </c>
      <c r="V223" s="665">
        <f t="shared" si="55"/>
        <v>17215.761971827582</v>
      </c>
      <c r="W223" s="590">
        <f t="shared" si="51"/>
        <v>18016030.40664633</v>
      </c>
      <c r="X223" s="589" t="b">
        <f t="shared" si="52"/>
        <v>1</v>
      </c>
    </row>
    <row r="224" spans="9:24" ht="16.5" hidden="1" customHeight="1">
      <c r="I224" s="589">
        <v>222</v>
      </c>
      <c r="J224" s="654">
        <f t="shared" si="42"/>
        <v>62117.38548147284</v>
      </c>
      <c r="K224" s="655">
        <f t="shared" si="43"/>
        <v>-19451.848853490505</v>
      </c>
      <c r="L224" s="654">
        <f t="shared" si="46"/>
        <v>81569.234334963345</v>
      </c>
      <c r="M224" s="656">
        <f t="shared" si="47"/>
        <v>-2999346.5623585386</v>
      </c>
      <c r="N224" s="657">
        <f t="shared" si="53"/>
        <v>4290713.0145284282</v>
      </c>
      <c r="O224" s="589">
        <f t="shared" si="48"/>
        <v>246</v>
      </c>
      <c r="P224" s="654">
        <f t="shared" si="44"/>
        <v>44901.623509645258</v>
      </c>
      <c r="Q224" s="664">
        <f t="shared" si="45"/>
        <v>23989.029957813229</v>
      </c>
      <c r="R224" s="654">
        <f t="shared" si="49"/>
        <v>20912.593551832029</v>
      </c>
      <c r="S224" s="656">
        <f t="shared" si="50"/>
        <v>3577441.9001201517</v>
      </c>
      <c r="T224" s="657">
        <f t="shared" si="54"/>
        <v>7532732.7081145858</v>
      </c>
      <c r="V224" s="665">
        <f t="shared" si="55"/>
        <v>17215.761971827582</v>
      </c>
      <c r="W224" s="590">
        <f t="shared" si="51"/>
        <v>18244504.149278786</v>
      </c>
      <c r="X224" s="589" t="b">
        <f t="shared" si="52"/>
        <v>1</v>
      </c>
    </row>
    <row r="225" spans="9:24" ht="16.5" hidden="1" customHeight="1">
      <c r="I225" s="589">
        <v>223</v>
      </c>
      <c r="J225" s="654">
        <f t="shared" si="42"/>
        <v>62117.38548147284</v>
      </c>
      <c r="K225" s="655">
        <f t="shared" si="43"/>
        <v>-19995.643749056926</v>
      </c>
      <c r="L225" s="654">
        <f t="shared" si="46"/>
        <v>82113.029230529763</v>
      </c>
      <c r="M225" s="656">
        <f t="shared" si="47"/>
        <v>-3081459.5915890685</v>
      </c>
      <c r="N225" s="657">
        <f t="shared" si="53"/>
        <v>4270717.3707793709</v>
      </c>
      <c r="O225" s="589">
        <f t="shared" si="48"/>
        <v>247</v>
      </c>
      <c r="P225" s="654">
        <f t="shared" si="44"/>
        <v>44901.623509645258</v>
      </c>
      <c r="Q225" s="664">
        <f t="shared" si="45"/>
        <v>23849.612667467678</v>
      </c>
      <c r="R225" s="654">
        <f t="shared" si="49"/>
        <v>21052.01084217758</v>
      </c>
      <c r="S225" s="656">
        <f t="shared" si="50"/>
        <v>3556389.8892779741</v>
      </c>
      <c r="T225" s="657">
        <f t="shared" si="54"/>
        <v>7556582.3207820533</v>
      </c>
      <c r="V225" s="665">
        <f t="shared" si="55"/>
        <v>17215.761971827582</v>
      </c>
      <c r="W225" s="590">
        <f t="shared" si="51"/>
        <v>18475654.442824546</v>
      </c>
      <c r="X225" s="589" t="b">
        <f t="shared" si="52"/>
        <v>1</v>
      </c>
    </row>
    <row r="226" spans="9:24" ht="16.5" hidden="1" customHeight="1">
      <c r="I226" s="589">
        <v>224</v>
      </c>
      <c r="J226" s="654">
        <f t="shared" si="42"/>
        <v>62117.38548147284</v>
      </c>
      <c r="K226" s="655">
        <f t="shared" si="43"/>
        <v>-20543.063943927125</v>
      </c>
      <c r="L226" s="654">
        <f t="shared" si="46"/>
        <v>82660.449425399973</v>
      </c>
      <c r="M226" s="656">
        <f t="shared" si="47"/>
        <v>-3164120.0410144683</v>
      </c>
      <c r="N226" s="657">
        <f t="shared" si="53"/>
        <v>4250174.3068354437</v>
      </c>
      <c r="O226" s="589">
        <f t="shared" si="48"/>
        <v>248</v>
      </c>
      <c r="P226" s="654">
        <f t="shared" si="44"/>
        <v>44901.623509645258</v>
      </c>
      <c r="Q226" s="664">
        <f t="shared" si="45"/>
        <v>23709.265928519828</v>
      </c>
      <c r="R226" s="654">
        <f t="shared" si="49"/>
        <v>21192.35758112543</v>
      </c>
      <c r="S226" s="656">
        <f t="shared" si="50"/>
        <v>3535197.5316968486</v>
      </c>
      <c r="T226" s="657">
        <f t="shared" si="54"/>
        <v>7580291.5867105732</v>
      </c>
      <c r="V226" s="665">
        <f t="shared" si="55"/>
        <v>17215.761971827582</v>
      </c>
      <c r="W226" s="590">
        <f t="shared" si="51"/>
        <v>18709512.642855197</v>
      </c>
      <c r="X226" s="589" t="b">
        <f t="shared" si="52"/>
        <v>1</v>
      </c>
    </row>
    <row r="227" spans="9:24" ht="16.5" hidden="1" customHeight="1">
      <c r="I227" s="589">
        <v>225</v>
      </c>
      <c r="J227" s="654">
        <f t="shared" si="42"/>
        <v>62117.38548147284</v>
      </c>
      <c r="K227" s="655">
        <f t="shared" si="43"/>
        <v>-21094.133606763124</v>
      </c>
      <c r="L227" s="654">
        <f t="shared" si="46"/>
        <v>83211.51908823596</v>
      </c>
      <c r="M227" s="656">
        <f t="shared" si="47"/>
        <v>-3247331.5601027044</v>
      </c>
      <c r="N227" s="657">
        <f t="shared" si="53"/>
        <v>4229080.1732286802</v>
      </c>
      <c r="O227" s="589">
        <f t="shared" si="48"/>
        <v>249</v>
      </c>
      <c r="P227" s="654">
        <f t="shared" si="44"/>
        <v>44901.623509645258</v>
      </c>
      <c r="Q227" s="664">
        <f t="shared" si="45"/>
        <v>23567.98354464566</v>
      </c>
      <c r="R227" s="654">
        <f t="shared" si="49"/>
        <v>21333.639964999598</v>
      </c>
      <c r="S227" s="656">
        <f t="shared" si="50"/>
        <v>3513863.8917318489</v>
      </c>
      <c r="T227" s="657">
        <f t="shared" si="54"/>
        <v>7603859.570255219</v>
      </c>
      <c r="V227" s="665">
        <f t="shared" si="55"/>
        <v>17215.761971827582</v>
      </c>
      <c r="W227" s="590">
        <f t="shared" si="51"/>
        <v>18946110.472270232</v>
      </c>
      <c r="X227" s="589" t="b">
        <f t="shared" si="52"/>
        <v>1</v>
      </c>
    </row>
    <row r="228" spans="9:24" ht="16.5" hidden="1" customHeight="1">
      <c r="I228" s="589">
        <v>226</v>
      </c>
      <c r="J228" s="654">
        <f t="shared" si="42"/>
        <v>62117.38548147284</v>
      </c>
      <c r="K228" s="655">
        <f t="shared" si="43"/>
        <v>-21648.877067351365</v>
      </c>
      <c r="L228" s="654">
        <f t="shared" si="46"/>
        <v>83766.262548824205</v>
      </c>
      <c r="M228" s="656">
        <f t="shared" si="47"/>
        <v>-3331097.8226515288</v>
      </c>
      <c r="N228" s="657">
        <f t="shared" si="53"/>
        <v>4207431.2961613284</v>
      </c>
      <c r="O228" s="589">
        <f t="shared" si="48"/>
        <v>250</v>
      </c>
      <c r="P228" s="654">
        <f t="shared" si="44"/>
        <v>44901.623509645258</v>
      </c>
      <c r="Q228" s="664">
        <f t="shared" si="45"/>
        <v>23425.759278212328</v>
      </c>
      <c r="R228" s="654">
        <f t="shared" si="49"/>
        <v>21475.86423143293</v>
      </c>
      <c r="S228" s="656">
        <f t="shared" si="50"/>
        <v>3492388.0275004162</v>
      </c>
      <c r="T228" s="657">
        <f t="shared" si="54"/>
        <v>7627285.3295334317</v>
      </c>
      <c r="V228" s="665">
        <f t="shared" si="55"/>
        <v>17215.761971827582</v>
      </c>
      <c r="W228" s="590">
        <f t="shared" si="51"/>
        <v>19185480.025600281</v>
      </c>
      <c r="X228" s="589" t="b">
        <f t="shared" si="52"/>
        <v>1</v>
      </c>
    </row>
    <row r="229" spans="9:24" ht="16.5" hidden="1" customHeight="1">
      <c r="I229" s="589">
        <v>227</v>
      </c>
      <c r="J229" s="654">
        <f t="shared" si="42"/>
        <v>62117.38548147284</v>
      </c>
      <c r="K229" s="655">
        <f t="shared" si="43"/>
        <v>-22207.31881767686</v>
      </c>
      <c r="L229" s="654">
        <f t="shared" si="46"/>
        <v>84324.7042991497</v>
      </c>
      <c r="M229" s="656">
        <f t="shared" si="47"/>
        <v>-3415422.5269506783</v>
      </c>
      <c r="N229" s="657">
        <f t="shared" si="53"/>
        <v>4185223.9773436515</v>
      </c>
      <c r="O229" s="589">
        <f t="shared" si="48"/>
        <v>251</v>
      </c>
      <c r="P229" s="654">
        <f t="shared" si="44"/>
        <v>44901.623509645258</v>
      </c>
      <c r="Q229" s="664">
        <f t="shared" si="45"/>
        <v>23282.586850002775</v>
      </c>
      <c r="R229" s="654">
        <f t="shared" si="49"/>
        <v>21619.036659642483</v>
      </c>
      <c r="S229" s="656">
        <f t="shared" si="50"/>
        <v>3470768.9908407736</v>
      </c>
      <c r="T229" s="657">
        <f t="shared" si="54"/>
        <v>7650567.9163834341</v>
      </c>
      <c r="V229" s="665">
        <f t="shared" si="55"/>
        <v>17215.761971827582</v>
      </c>
      <c r="W229" s="590">
        <f t="shared" si="51"/>
        <v>19427653.773360737</v>
      </c>
      <c r="X229" s="589" t="b">
        <f t="shared" si="52"/>
        <v>1</v>
      </c>
    </row>
    <row r="230" spans="9:24" ht="16.5" hidden="1" customHeight="1">
      <c r="I230" s="589">
        <v>228</v>
      </c>
      <c r="J230" s="654">
        <f t="shared" si="42"/>
        <v>62117.38548147284</v>
      </c>
      <c r="K230" s="655">
        <f t="shared" si="43"/>
        <v>-22769.483513004525</v>
      </c>
      <c r="L230" s="654">
        <f t="shared" si="46"/>
        <v>84886.868994477365</v>
      </c>
      <c r="M230" s="656">
        <f t="shared" si="47"/>
        <v>-3500309.3959451555</v>
      </c>
      <c r="N230" s="657">
        <f t="shared" si="53"/>
        <v>4162454.4938306469</v>
      </c>
      <c r="O230" s="589">
        <f t="shared" si="48"/>
        <v>252</v>
      </c>
      <c r="P230" s="654">
        <f t="shared" si="44"/>
        <v>44901.623509645258</v>
      </c>
      <c r="Q230" s="664">
        <f t="shared" si="45"/>
        <v>23138.459938938493</v>
      </c>
      <c r="R230" s="654">
        <f t="shared" si="49"/>
        <v>21763.163570706765</v>
      </c>
      <c r="S230" s="656">
        <f t="shared" si="50"/>
        <v>3449005.8272700668</v>
      </c>
      <c r="T230" s="657">
        <f t="shared" si="54"/>
        <v>7673706.3763223728</v>
      </c>
      <c r="V230" s="665">
        <f t="shared" si="55"/>
        <v>17215.761971827582</v>
      </c>
      <c r="W230" s="590">
        <f t="shared" si="51"/>
        <v>19672664.566456374</v>
      </c>
      <c r="X230" s="589" t="b">
        <f t="shared" si="52"/>
        <v>1</v>
      </c>
    </row>
    <row r="231" spans="9:24" ht="16.5" hidden="1" customHeight="1">
      <c r="I231" s="589">
        <v>229</v>
      </c>
      <c r="J231" s="654">
        <f t="shared" si="42"/>
        <v>62117.38548147284</v>
      </c>
      <c r="K231" s="655">
        <f t="shared" si="43"/>
        <v>-23335.395972967704</v>
      </c>
      <c r="L231" s="654">
        <f t="shared" si="46"/>
        <v>85452.781454440541</v>
      </c>
      <c r="M231" s="656">
        <f t="shared" si="47"/>
        <v>-3585762.1773995962</v>
      </c>
      <c r="N231" s="657">
        <f t="shared" si="53"/>
        <v>4139119.0978576792</v>
      </c>
      <c r="O231" s="589">
        <f t="shared" si="48"/>
        <v>253</v>
      </c>
      <c r="P231" s="654">
        <f t="shared" si="44"/>
        <v>44901.623509645258</v>
      </c>
      <c r="Q231" s="664">
        <f t="shared" si="45"/>
        <v>22993.372181800449</v>
      </c>
      <c r="R231" s="654">
        <f t="shared" si="49"/>
        <v>21908.25132784481</v>
      </c>
      <c r="S231" s="656">
        <f t="shared" si="50"/>
        <v>3427097.575942222</v>
      </c>
      <c r="T231" s="657">
        <f t="shared" si="54"/>
        <v>7696699.748504173</v>
      </c>
      <c r="V231" s="665">
        <f t="shared" si="55"/>
        <v>17215.761971827582</v>
      </c>
      <c r="W231" s="590">
        <f t="shared" si="51"/>
        <v>19920545.640637595</v>
      </c>
      <c r="X231" s="589" t="b">
        <f t="shared" si="52"/>
        <v>1</v>
      </c>
    </row>
    <row r="232" spans="9:24" ht="16.5" hidden="1" customHeight="1">
      <c r="I232" s="589">
        <v>230</v>
      </c>
      <c r="J232" s="654">
        <f t="shared" si="42"/>
        <v>62117.38548147284</v>
      </c>
      <c r="K232" s="655">
        <f t="shared" si="43"/>
        <v>-23905.081182663977</v>
      </c>
      <c r="L232" s="654">
        <f t="shared" si="46"/>
        <v>86022.466664136824</v>
      </c>
      <c r="M232" s="656">
        <f t="shared" si="47"/>
        <v>-3671784.6440637331</v>
      </c>
      <c r="N232" s="657">
        <f t="shared" si="53"/>
        <v>4115214.0166750154</v>
      </c>
      <c r="O232" s="589">
        <f t="shared" si="48"/>
        <v>254</v>
      </c>
      <c r="P232" s="654">
        <f t="shared" si="44"/>
        <v>44901.623509645258</v>
      </c>
      <c r="Q232" s="664">
        <f t="shared" si="45"/>
        <v>22847.317172948147</v>
      </c>
      <c r="R232" s="654">
        <f t="shared" si="49"/>
        <v>22054.306336697111</v>
      </c>
      <c r="S232" s="656">
        <f t="shared" si="50"/>
        <v>3405043.2696055248</v>
      </c>
      <c r="T232" s="657">
        <f t="shared" si="54"/>
        <v>7719547.0656771213</v>
      </c>
      <c r="V232" s="665">
        <f t="shared" si="55"/>
        <v>17215.761971827582</v>
      </c>
      <c r="W232" s="590">
        <f t="shared" si="51"/>
        <v>20171330.621008854</v>
      </c>
      <c r="X232" s="589" t="b">
        <f t="shared" si="52"/>
        <v>1</v>
      </c>
    </row>
    <row r="233" spans="9:24" ht="16.5" hidden="1" customHeight="1">
      <c r="I233" s="589">
        <v>231</v>
      </c>
      <c r="J233" s="654">
        <f t="shared" si="42"/>
        <v>62117.38548147284</v>
      </c>
      <c r="K233" s="655">
        <f t="shared" si="43"/>
        <v>-24478.564293758223</v>
      </c>
      <c r="L233" s="654">
        <f t="shared" si="46"/>
        <v>86595.949775231071</v>
      </c>
      <c r="M233" s="656">
        <f t="shared" si="47"/>
        <v>-3758380.5938389641</v>
      </c>
      <c r="N233" s="657">
        <f t="shared" si="53"/>
        <v>4090735.4523812574</v>
      </c>
      <c r="O233" s="589">
        <f t="shared" si="48"/>
        <v>255</v>
      </c>
      <c r="P233" s="654">
        <f t="shared" si="44"/>
        <v>44901.623509645258</v>
      </c>
      <c r="Q233" s="664">
        <f t="shared" si="45"/>
        <v>22700.288464036832</v>
      </c>
      <c r="R233" s="654">
        <f t="shared" si="49"/>
        <v>22201.335045608426</v>
      </c>
      <c r="S233" s="656">
        <f t="shared" si="50"/>
        <v>3382841.9345599166</v>
      </c>
      <c r="T233" s="657">
        <f t="shared" si="54"/>
        <v>7742247.3541411581</v>
      </c>
      <c r="V233" s="665">
        <f t="shared" si="55"/>
        <v>17215.761971827582</v>
      </c>
      <c r="W233" s="590">
        <f t="shared" si="51"/>
        <v>20425053.526589908</v>
      </c>
      <c r="X233" s="589" t="b">
        <f t="shared" si="52"/>
        <v>1</v>
      </c>
    </row>
    <row r="234" spans="9:24" ht="16.5" hidden="1" customHeight="1">
      <c r="I234" s="589">
        <v>232</v>
      </c>
      <c r="J234" s="654">
        <f t="shared" si="42"/>
        <v>62117.38548147284</v>
      </c>
      <c r="K234" s="655">
        <f t="shared" si="43"/>
        <v>-25055.870625593096</v>
      </c>
      <c r="L234" s="654">
        <f t="shared" si="46"/>
        <v>87173.256107065943</v>
      </c>
      <c r="M234" s="656">
        <f t="shared" si="47"/>
        <v>-3845553.8499460299</v>
      </c>
      <c r="N234" s="657">
        <f t="shared" si="53"/>
        <v>4065679.5817556642</v>
      </c>
      <c r="O234" s="589">
        <f t="shared" si="48"/>
        <v>256</v>
      </c>
      <c r="P234" s="654">
        <f t="shared" si="44"/>
        <v>44901.623509645258</v>
      </c>
      <c r="Q234" s="664">
        <f t="shared" si="45"/>
        <v>22552.27956373278</v>
      </c>
      <c r="R234" s="654">
        <f t="shared" si="49"/>
        <v>22349.343945912478</v>
      </c>
      <c r="S234" s="656">
        <f t="shared" si="50"/>
        <v>3360492.5906140041</v>
      </c>
      <c r="T234" s="657">
        <f t="shared" si="54"/>
        <v>7764799.6337048905</v>
      </c>
      <c r="V234" s="665">
        <f t="shared" si="55"/>
        <v>17215.761971827582</v>
      </c>
      <c r="W234" s="590">
        <f t="shared" si="51"/>
        <v>20681748.774930507</v>
      </c>
      <c r="X234" s="589" t="b">
        <f t="shared" si="52"/>
        <v>1</v>
      </c>
    </row>
    <row r="235" spans="9:24" ht="16.5" hidden="1" customHeight="1">
      <c r="I235" s="589">
        <v>233</v>
      </c>
      <c r="J235" s="654">
        <f t="shared" si="42"/>
        <v>62117.38548147284</v>
      </c>
      <c r="K235" s="655">
        <f t="shared" si="43"/>
        <v>-25637.025666306869</v>
      </c>
      <c r="L235" s="654">
        <f t="shared" si="46"/>
        <v>87754.411147779712</v>
      </c>
      <c r="M235" s="656">
        <f t="shared" si="47"/>
        <v>-3933308.2610938097</v>
      </c>
      <c r="N235" s="657">
        <f t="shared" si="53"/>
        <v>4040042.5560893575</v>
      </c>
      <c r="O235" s="589">
        <f t="shared" si="48"/>
        <v>257</v>
      </c>
      <c r="P235" s="654">
        <f t="shared" si="44"/>
        <v>44901.623509645258</v>
      </c>
      <c r="Q235" s="664">
        <f t="shared" si="45"/>
        <v>22403.283937426695</v>
      </c>
      <c r="R235" s="654">
        <f t="shared" si="49"/>
        <v>22498.339572218563</v>
      </c>
      <c r="S235" s="656">
        <f t="shared" si="50"/>
        <v>3337994.2510417853</v>
      </c>
      <c r="T235" s="657">
        <f t="shared" si="54"/>
        <v>7787202.9176423168</v>
      </c>
      <c r="V235" s="665">
        <f t="shared" si="55"/>
        <v>17215.761971827582</v>
      </c>
      <c r="W235" s="590">
        <f t="shared" si="51"/>
        <v>20941451.186779138</v>
      </c>
      <c r="X235" s="589" t="b">
        <f t="shared" si="52"/>
        <v>1</v>
      </c>
    </row>
    <row r="236" spans="9:24" ht="16.5" hidden="1" customHeight="1">
      <c r="I236" s="589">
        <v>234</v>
      </c>
      <c r="J236" s="654">
        <f t="shared" si="42"/>
        <v>62117.38548147284</v>
      </c>
      <c r="K236" s="655">
        <f t="shared" si="43"/>
        <v>-26222.055073958734</v>
      </c>
      <c r="L236" s="654">
        <f t="shared" si="46"/>
        <v>88339.440555431574</v>
      </c>
      <c r="M236" s="656">
        <f t="shared" si="47"/>
        <v>-4021647.7016492411</v>
      </c>
      <c r="N236" s="657">
        <f t="shared" si="53"/>
        <v>4013820.5010153987</v>
      </c>
      <c r="O236" s="589">
        <f t="shared" si="48"/>
        <v>258</v>
      </c>
      <c r="P236" s="654">
        <f t="shared" si="44"/>
        <v>44901.623509645258</v>
      </c>
      <c r="Q236" s="664">
        <f t="shared" si="45"/>
        <v>22253.295006945238</v>
      </c>
      <c r="R236" s="654">
        <f t="shared" si="49"/>
        <v>22648.32850270002</v>
      </c>
      <c r="S236" s="656">
        <f t="shared" si="50"/>
        <v>3315345.9225390851</v>
      </c>
      <c r="T236" s="657">
        <f t="shared" si="54"/>
        <v>7809456.2126492616</v>
      </c>
      <c r="V236" s="665">
        <f t="shared" si="55"/>
        <v>17215.761971827582</v>
      </c>
      <c r="W236" s="590">
        <f t="shared" si="51"/>
        <v>21204195.99080646</v>
      </c>
      <c r="X236" s="589" t="b">
        <f t="shared" si="52"/>
        <v>1</v>
      </c>
    </row>
    <row r="237" spans="9:24" ht="16.5" hidden="1" customHeight="1">
      <c r="I237" s="589">
        <v>235</v>
      </c>
      <c r="J237" s="654">
        <f t="shared" si="42"/>
        <v>62117.38548147284</v>
      </c>
      <c r="K237" s="655">
        <f t="shared" si="43"/>
        <v>-26810.98467766161</v>
      </c>
      <c r="L237" s="654">
        <f t="shared" si="46"/>
        <v>88928.370159134443</v>
      </c>
      <c r="M237" s="656">
        <f t="shared" si="47"/>
        <v>-4110576.0718083754</v>
      </c>
      <c r="N237" s="657">
        <f t="shared" si="53"/>
        <v>3987009.516337737</v>
      </c>
      <c r="O237" s="589">
        <f t="shared" si="48"/>
        <v>259</v>
      </c>
      <c r="P237" s="654">
        <f t="shared" si="44"/>
        <v>44901.623509645258</v>
      </c>
      <c r="Q237" s="664">
        <f t="shared" si="45"/>
        <v>22102.306150260571</v>
      </c>
      <c r="R237" s="654">
        <f t="shared" si="49"/>
        <v>22799.317359384688</v>
      </c>
      <c r="S237" s="656">
        <f t="shared" si="50"/>
        <v>3292546.6051797005</v>
      </c>
      <c r="T237" s="657">
        <f t="shared" si="54"/>
        <v>7831558.518799522</v>
      </c>
      <c r="V237" s="665">
        <f t="shared" si="55"/>
        <v>17215.761971827582</v>
      </c>
      <c r="W237" s="590">
        <f t="shared" si="51"/>
        <v>21470018.828384086</v>
      </c>
      <c r="X237" s="589" t="b">
        <f t="shared" si="52"/>
        <v>1</v>
      </c>
    </row>
    <row r="238" spans="9:24" ht="16.5" hidden="1" customHeight="1">
      <c r="I238" s="589">
        <v>236</v>
      </c>
      <c r="J238" s="654">
        <f t="shared" si="42"/>
        <v>62117.38548147284</v>
      </c>
      <c r="K238" s="655">
        <f t="shared" si="43"/>
        <v>-27403.840478722504</v>
      </c>
      <c r="L238" s="654">
        <f t="shared" si="46"/>
        <v>89521.225960195341</v>
      </c>
      <c r="M238" s="656">
        <f t="shared" si="47"/>
        <v>-4200097.2977685705</v>
      </c>
      <c r="N238" s="657">
        <f t="shared" si="53"/>
        <v>3959605.6758590145</v>
      </c>
      <c r="O238" s="589">
        <f t="shared" si="48"/>
        <v>260</v>
      </c>
      <c r="P238" s="654">
        <f t="shared" si="44"/>
        <v>44901.623509645258</v>
      </c>
      <c r="Q238" s="664">
        <f t="shared" si="45"/>
        <v>21950.310701198006</v>
      </c>
      <c r="R238" s="654">
        <f t="shared" si="49"/>
        <v>22951.312808447252</v>
      </c>
      <c r="S238" s="656">
        <f t="shared" si="50"/>
        <v>3269595.2923712535</v>
      </c>
      <c r="T238" s="657">
        <f t="shared" si="54"/>
        <v>7853508.8295007199</v>
      </c>
      <c r="V238" s="665">
        <f t="shared" si="55"/>
        <v>17215.761971827582</v>
      </c>
      <c r="W238" s="590">
        <f t="shared" si="51"/>
        <v>21738955.758419335</v>
      </c>
      <c r="X238" s="589" t="b">
        <f t="shared" si="52"/>
        <v>1</v>
      </c>
    </row>
    <row r="239" spans="9:24" ht="16.5" hidden="1" customHeight="1">
      <c r="I239" s="589">
        <v>237</v>
      </c>
      <c r="J239" s="654">
        <f t="shared" si="42"/>
        <v>62117.38548147284</v>
      </c>
      <c r="K239" s="655">
        <f t="shared" si="43"/>
        <v>-28000.64865179047</v>
      </c>
      <c r="L239" s="654">
        <f t="shared" si="46"/>
        <v>90118.034133263311</v>
      </c>
      <c r="M239" s="656">
        <f t="shared" si="47"/>
        <v>-4290215.3319018334</v>
      </c>
      <c r="N239" s="657">
        <f t="shared" si="53"/>
        <v>3931605.0272072242</v>
      </c>
      <c r="O239" s="589">
        <f t="shared" si="48"/>
        <v>261</v>
      </c>
      <c r="P239" s="654">
        <f t="shared" si="44"/>
        <v>44901.623509645258</v>
      </c>
      <c r="Q239" s="664">
        <f t="shared" si="45"/>
        <v>21797.301949141693</v>
      </c>
      <c r="R239" s="654">
        <f t="shared" si="49"/>
        <v>23104.321560503566</v>
      </c>
      <c r="S239" s="656">
        <f t="shared" si="50"/>
        <v>3246490.97081075</v>
      </c>
      <c r="T239" s="657">
        <f t="shared" si="54"/>
        <v>7875306.1314498615</v>
      </c>
      <c r="V239" s="665">
        <f t="shared" si="55"/>
        <v>17215.761971827582</v>
      </c>
      <c r="W239" s="590">
        <f t="shared" si="51"/>
        <v>22011043.262246627</v>
      </c>
      <c r="X239" s="589" t="b">
        <f t="shared" si="52"/>
        <v>1</v>
      </c>
    </row>
    <row r="240" spans="9:24" ht="16.5" hidden="1" customHeight="1">
      <c r="I240" s="589">
        <v>238</v>
      </c>
      <c r="J240" s="654">
        <f t="shared" si="42"/>
        <v>62117.38548147284</v>
      </c>
      <c r="K240" s="655">
        <f t="shared" si="43"/>
        <v>-28601.435546012224</v>
      </c>
      <c r="L240" s="654">
        <f t="shared" si="46"/>
        <v>90718.821027485072</v>
      </c>
      <c r="M240" s="656">
        <f t="shared" si="47"/>
        <v>-4380934.1529293181</v>
      </c>
      <c r="N240" s="657">
        <f t="shared" si="53"/>
        <v>3903003.591661212</v>
      </c>
      <c r="O240" s="589">
        <f t="shared" si="48"/>
        <v>262</v>
      </c>
      <c r="P240" s="654">
        <f t="shared" si="44"/>
        <v>44901.623509645258</v>
      </c>
      <c r="Q240" s="664">
        <f t="shared" si="45"/>
        <v>21643.273138738336</v>
      </c>
      <c r="R240" s="654">
        <f t="shared" si="49"/>
        <v>23258.350370906923</v>
      </c>
      <c r="S240" s="656">
        <f t="shared" si="50"/>
        <v>3223232.6204398433</v>
      </c>
      <c r="T240" s="657">
        <f t="shared" si="54"/>
        <v>7896949.4045885997</v>
      </c>
      <c r="V240" s="665">
        <f t="shared" si="55"/>
        <v>17215.761971827582</v>
      </c>
      <c r="W240" s="590">
        <f t="shared" si="51"/>
        <v>22286318.248576187</v>
      </c>
      <c r="X240" s="589" t="b">
        <f t="shared" si="52"/>
        <v>1</v>
      </c>
    </row>
    <row r="241" spans="6:24" ht="16.5" hidden="1" customHeight="1">
      <c r="I241" s="589">
        <v>239</v>
      </c>
      <c r="J241" s="654">
        <f t="shared" si="42"/>
        <v>62117.38548147284</v>
      </c>
      <c r="K241" s="655">
        <f t="shared" si="43"/>
        <v>-29206.227686195456</v>
      </c>
      <c r="L241" s="654">
        <f t="shared" si="46"/>
        <v>91323.6131676683</v>
      </c>
      <c r="M241" s="656">
        <f t="shared" si="47"/>
        <v>-4472257.7660969868</v>
      </c>
      <c r="N241" s="657">
        <f t="shared" si="53"/>
        <v>3873797.3639750164</v>
      </c>
      <c r="O241" s="589">
        <f t="shared" si="48"/>
        <v>263</v>
      </c>
      <c r="P241" s="654">
        <f t="shared" si="44"/>
        <v>44901.623509645258</v>
      </c>
      <c r="Q241" s="664">
        <f t="shared" si="45"/>
        <v>21488.217469598956</v>
      </c>
      <c r="R241" s="654">
        <f t="shared" si="49"/>
        <v>23413.406040046302</v>
      </c>
      <c r="S241" s="656">
        <f t="shared" si="50"/>
        <v>3199819.2143997969</v>
      </c>
      <c r="T241" s="657">
        <f t="shared" si="54"/>
        <v>7918437.6220581988</v>
      </c>
      <c r="V241" s="665">
        <f t="shared" si="55"/>
        <v>17215.761971827582</v>
      </c>
      <c r="W241" s="590">
        <f t="shared" si="51"/>
        <v>22564818.058500711</v>
      </c>
      <c r="X241" s="589" t="b">
        <f t="shared" si="52"/>
        <v>1</v>
      </c>
    </row>
    <row r="242" spans="6:24" ht="16.5" hidden="1" customHeight="1">
      <c r="F242" s="668"/>
      <c r="I242" s="589">
        <v>240</v>
      </c>
      <c r="J242" s="654">
        <f t="shared" si="42"/>
        <v>62117.38548147284</v>
      </c>
      <c r="K242" s="655">
        <f t="shared" si="43"/>
        <v>-29815.051773979914</v>
      </c>
      <c r="L242" s="654">
        <f t="shared" si="46"/>
        <v>91932.437255452751</v>
      </c>
      <c r="M242" s="656">
        <f t="shared" si="47"/>
        <v>-4564190.2033524392</v>
      </c>
      <c r="N242" s="657">
        <f t="shared" si="53"/>
        <v>3843982.3122010366</v>
      </c>
      <c r="O242" s="589">
        <f t="shared" si="48"/>
        <v>264</v>
      </c>
      <c r="P242" s="654">
        <f t="shared" si="44"/>
        <v>44901.623509645258</v>
      </c>
      <c r="Q242" s="664">
        <f t="shared" si="45"/>
        <v>21332.128095998647</v>
      </c>
      <c r="R242" s="654">
        <f t="shared" si="49"/>
        <v>23569.495413646611</v>
      </c>
      <c r="S242" s="656">
        <f t="shared" si="50"/>
        <v>3176249.7189861503</v>
      </c>
      <c r="T242" s="657">
        <f t="shared" si="54"/>
        <v>7939769.7501541972</v>
      </c>
      <c r="V242" s="665">
        <f t="shared" si="55"/>
        <v>17215.761971827582</v>
      </c>
      <c r="W242" s="590">
        <f t="shared" si="51"/>
        <v>22846580.470560696</v>
      </c>
      <c r="X242" s="589" t="b">
        <f t="shared" si="52"/>
        <v>1</v>
      </c>
    </row>
    <row r="243" spans="6:24" ht="16.5" hidden="1" customHeight="1">
      <c r="I243" s="589">
        <v>241</v>
      </c>
      <c r="J243" s="654">
        <f t="shared" si="42"/>
        <v>62117.38548147284</v>
      </c>
      <c r="K243" s="655">
        <f t="shared" si="43"/>
        <v>-30427.934689016263</v>
      </c>
      <c r="L243" s="654">
        <f t="shared" si="46"/>
        <v>92545.320170489111</v>
      </c>
      <c r="M243" s="656">
        <f t="shared" si="47"/>
        <v>-4656735.5235229284</v>
      </c>
      <c r="N243" s="657">
        <f t="shared" si="53"/>
        <v>3813554.3775120205</v>
      </c>
      <c r="O243" s="589">
        <f t="shared" si="48"/>
        <v>265</v>
      </c>
      <c r="P243" s="654">
        <f t="shared" si="44"/>
        <v>44901.623509645258</v>
      </c>
      <c r="Q243" s="664">
        <f t="shared" si="45"/>
        <v>21174.998126574337</v>
      </c>
      <c r="R243" s="654">
        <f t="shared" si="49"/>
        <v>23726.625383070921</v>
      </c>
      <c r="S243" s="656">
        <f t="shared" si="50"/>
        <v>3152523.0936030792</v>
      </c>
      <c r="T243" s="657">
        <f t="shared" si="54"/>
        <v>7960944.748280772</v>
      </c>
      <c r="V243" s="665">
        <f t="shared" si="55"/>
        <v>17215.761971827582</v>
      </c>
      <c r="W243" s="590">
        <f t="shared" si="51"/>
        <v>23131643.705869101</v>
      </c>
      <c r="X243" s="589" t="b">
        <f t="shared" si="52"/>
        <v>1</v>
      </c>
    </row>
    <row r="244" spans="6:24" ht="16.5" hidden="1" customHeight="1">
      <c r="I244" s="589">
        <v>242</v>
      </c>
      <c r="J244" s="654">
        <f t="shared" si="42"/>
        <v>62117.38548147284</v>
      </c>
      <c r="K244" s="655">
        <f t="shared" si="43"/>
        <v>-31044.903490152858</v>
      </c>
      <c r="L244" s="654">
        <f t="shared" si="46"/>
        <v>93162.288971625705</v>
      </c>
      <c r="M244" s="656">
        <f t="shared" si="47"/>
        <v>-4749897.8124945536</v>
      </c>
      <c r="N244" s="657">
        <f t="shared" si="53"/>
        <v>3782509.4740218678</v>
      </c>
      <c r="O244" s="589">
        <f t="shared" si="48"/>
        <v>266</v>
      </c>
      <c r="P244" s="654">
        <f t="shared" si="44"/>
        <v>44901.623509645258</v>
      </c>
      <c r="Q244" s="664">
        <f t="shared" si="45"/>
        <v>21016.820624020529</v>
      </c>
      <c r="R244" s="654">
        <f t="shared" si="49"/>
        <v>23884.802885624729</v>
      </c>
      <c r="S244" s="656">
        <f t="shared" si="50"/>
        <v>3128638.2907174546</v>
      </c>
      <c r="T244" s="657">
        <f t="shared" si="54"/>
        <v>7981961.5689047929</v>
      </c>
      <c r="V244" s="665">
        <f t="shared" si="55"/>
        <v>17215.761971827582</v>
      </c>
      <c r="W244" s="590">
        <f t="shared" si="51"/>
        <v>23420046.433296047</v>
      </c>
      <c r="X244" s="589" t="b">
        <f t="shared" si="52"/>
        <v>1</v>
      </c>
    </row>
    <row r="245" spans="6:24" ht="16.5" hidden="1" customHeight="1">
      <c r="I245" s="589">
        <v>243</v>
      </c>
      <c r="J245" s="654">
        <f t="shared" si="42"/>
        <v>62117.38548147284</v>
      </c>
      <c r="K245" s="655">
        <f t="shared" si="43"/>
        <v>-31665.985416630359</v>
      </c>
      <c r="L245" s="654">
        <f t="shared" si="46"/>
        <v>93783.370898103196</v>
      </c>
      <c r="M245" s="656">
        <f t="shared" si="47"/>
        <v>-4843681.183392657</v>
      </c>
      <c r="N245" s="657">
        <f t="shared" si="53"/>
        <v>3750843.4886052376</v>
      </c>
      <c r="O245" s="589">
        <f t="shared" si="48"/>
        <v>267</v>
      </c>
      <c r="P245" s="654">
        <f t="shared" si="44"/>
        <v>44901.623509645258</v>
      </c>
      <c r="Q245" s="664">
        <f t="shared" si="45"/>
        <v>20857.588604783032</v>
      </c>
      <c r="R245" s="654">
        <f t="shared" si="49"/>
        <v>24044.034904862227</v>
      </c>
      <c r="S245" s="656">
        <f t="shared" si="50"/>
        <v>3104594.2558125923</v>
      </c>
      <c r="T245" s="657">
        <f t="shared" si="54"/>
        <v>8002819.1575095756</v>
      </c>
      <c r="V245" s="665">
        <f t="shared" si="55"/>
        <v>17215.761971827582</v>
      </c>
      <c r="W245" s="590">
        <f t="shared" si="51"/>
        <v>23711827.774714261</v>
      </c>
      <c r="X245" s="589" t="b">
        <f t="shared" si="52"/>
        <v>1</v>
      </c>
    </row>
    <row r="246" spans="6:24" hidden="1">
      <c r="I246" s="589">
        <v>244</v>
      </c>
      <c r="J246" s="654">
        <f t="shared" si="42"/>
        <v>62117.38548147284</v>
      </c>
      <c r="K246" s="655">
        <f t="shared" si="43"/>
        <v>-32291.207889284382</v>
      </c>
      <c r="L246" s="654">
        <f t="shared" si="46"/>
        <v>94408.593370757226</v>
      </c>
      <c r="M246" s="656">
        <f t="shared" si="47"/>
        <v>-4938089.776763414</v>
      </c>
      <c r="N246" s="657">
        <f t="shared" si="53"/>
        <v>3718552.2807159531</v>
      </c>
      <c r="O246" s="589">
        <f t="shared" si="48"/>
        <v>268</v>
      </c>
      <c r="P246" s="654">
        <f t="shared" si="44"/>
        <v>44901.623509645258</v>
      </c>
      <c r="Q246" s="664">
        <f t="shared" si="45"/>
        <v>20697.295038750617</v>
      </c>
      <c r="R246" s="654">
        <f t="shared" si="49"/>
        <v>24204.328470894641</v>
      </c>
      <c r="S246" s="656">
        <f t="shared" si="50"/>
        <v>3080389.9273416977</v>
      </c>
      <c r="T246" s="657">
        <f t="shared" si="54"/>
        <v>8023516.452548326</v>
      </c>
      <c r="V246" s="665">
        <f t="shared" si="55"/>
        <v>17215.761971827582</v>
      </c>
      <c r="W246" s="590">
        <f t="shared" si="51"/>
        <v>24007027.310305953</v>
      </c>
      <c r="X246" s="589" t="b">
        <f t="shared" si="52"/>
        <v>1</v>
      </c>
    </row>
    <row r="247" spans="6:24" hidden="1">
      <c r="I247" s="589">
        <v>245</v>
      </c>
      <c r="J247" s="654">
        <f t="shared" si="42"/>
        <v>62117.38548147284</v>
      </c>
      <c r="K247" s="655">
        <f t="shared" si="43"/>
        <v>-32920.598511756092</v>
      </c>
      <c r="L247" s="654">
        <f t="shared" si="46"/>
        <v>95037.983993228932</v>
      </c>
      <c r="M247" s="656">
        <f t="shared" si="47"/>
        <v>-5033127.7607566426</v>
      </c>
      <c r="N247" s="657">
        <f t="shared" si="53"/>
        <v>3685631.6822041972</v>
      </c>
      <c r="O247" s="589">
        <f t="shared" si="48"/>
        <v>269</v>
      </c>
      <c r="P247" s="654">
        <f t="shared" si="44"/>
        <v>44901.623509645258</v>
      </c>
      <c r="Q247" s="664">
        <f t="shared" si="45"/>
        <v>20535.932848944653</v>
      </c>
      <c r="R247" s="654">
        <f t="shared" si="49"/>
        <v>24365.690660700606</v>
      </c>
      <c r="S247" s="656">
        <f t="shared" si="50"/>
        <v>3056024.2366809971</v>
      </c>
      <c r="T247" s="657">
        <f t="shared" si="54"/>
        <v>8044052.3853972703</v>
      </c>
      <c r="V247" s="665">
        <f t="shared" si="55"/>
        <v>17215.761971827582</v>
      </c>
      <c r="W247" s="590">
        <f t="shared" si="51"/>
        <v>24305685.083931878</v>
      </c>
      <c r="X247" s="589" t="b">
        <f t="shared" si="52"/>
        <v>1</v>
      </c>
    </row>
    <row r="248" spans="6:24" hidden="1">
      <c r="I248" s="589">
        <v>246</v>
      </c>
      <c r="J248" s="654">
        <f t="shared" si="42"/>
        <v>62117.38548147284</v>
      </c>
      <c r="K248" s="655">
        <f t="shared" si="43"/>
        <v>-33554.185071710956</v>
      </c>
      <c r="L248" s="654">
        <f t="shared" si="46"/>
        <v>95671.570553183788</v>
      </c>
      <c r="M248" s="656">
        <f t="shared" si="47"/>
        <v>-5128799.3313098261</v>
      </c>
      <c r="N248" s="657">
        <f t="shared" si="53"/>
        <v>3652077.4971324862</v>
      </c>
      <c r="O248" s="589">
        <f t="shared" si="48"/>
        <v>270</v>
      </c>
      <c r="P248" s="654">
        <f t="shared" si="44"/>
        <v>44901.623509645258</v>
      </c>
      <c r="Q248" s="664">
        <f t="shared" si="45"/>
        <v>20373.49491120665</v>
      </c>
      <c r="R248" s="654">
        <f t="shared" si="49"/>
        <v>24528.128598438609</v>
      </c>
      <c r="S248" s="656">
        <f t="shared" si="50"/>
        <v>3031496.1080825585</v>
      </c>
      <c r="T248" s="657">
        <f t="shared" si="54"/>
        <v>8064425.8803084772</v>
      </c>
      <c r="V248" s="665">
        <f t="shared" si="55"/>
        <v>17215.761971827582</v>
      </c>
      <c r="W248" s="590">
        <f t="shared" si="51"/>
        <v>24607841.6085633</v>
      </c>
      <c r="X248" s="589" t="b">
        <f t="shared" si="52"/>
        <v>1</v>
      </c>
    </row>
    <row r="249" spans="6:24" hidden="1">
      <c r="I249" s="589">
        <v>247</v>
      </c>
      <c r="J249" s="654">
        <f t="shared" si="42"/>
        <v>62117.38548147284</v>
      </c>
      <c r="K249" s="655">
        <f t="shared" si="43"/>
        <v>-34191.99554206551</v>
      </c>
      <c r="L249" s="654">
        <f t="shared" si="46"/>
        <v>96309.381023538357</v>
      </c>
      <c r="M249" s="656">
        <f t="shared" si="47"/>
        <v>-5225108.7123333644</v>
      </c>
      <c r="N249" s="657">
        <f t="shared" si="53"/>
        <v>3617885.5015904205</v>
      </c>
      <c r="O249" s="589">
        <f t="shared" si="48"/>
        <v>271</v>
      </c>
      <c r="P249" s="654">
        <f t="shared" si="44"/>
        <v>44901.623509645258</v>
      </c>
      <c r="Q249" s="664">
        <f t="shared" si="45"/>
        <v>20209.974053883725</v>
      </c>
      <c r="R249" s="654">
        <f t="shared" si="49"/>
        <v>24691.649455761533</v>
      </c>
      <c r="S249" s="656">
        <f t="shared" si="50"/>
        <v>3006804.458626797</v>
      </c>
      <c r="T249" s="657">
        <f t="shared" si="54"/>
        <v>8084635.8543623611</v>
      </c>
      <c r="V249" s="665">
        <f t="shared" si="55"/>
        <v>17215.761971827582</v>
      </c>
      <c r="W249" s="590">
        <f t="shared" si="51"/>
        <v>24913537.871777572</v>
      </c>
      <c r="X249" s="589" t="b">
        <f t="shared" si="52"/>
        <v>1</v>
      </c>
    </row>
    <row r="250" spans="6:24" hidden="1">
      <c r="I250" s="589">
        <v>248</v>
      </c>
      <c r="J250" s="654">
        <f t="shared" si="42"/>
        <v>62117.38548147284</v>
      </c>
      <c r="K250" s="655">
        <f t="shared" si="43"/>
        <v>-34834.058082222429</v>
      </c>
      <c r="L250" s="654">
        <f t="shared" si="46"/>
        <v>96951.443563695269</v>
      </c>
      <c r="M250" s="656">
        <f t="shared" si="47"/>
        <v>-5322060.1558970595</v>
      </c>
      <c r="N250" s="657">
        <f t="shared" si="53"/>
        <v>3583051.443508198</v>
      </c>
      <c r="O250" s="589">
        <f t="shared" si="48"/>
        <v>272</v>
      </c>
      <c r="P250" s="654">
        <f t="shared" si="44"/>
        <v>44901.623509645258</v>
      </c>
      <c r="Q250" s="664">
        <f t="shared" si="45"/>
        <v>20045.363057511982</v>
      </c>
      <c r="R250" s="654">
        <f t="shared" si="49"/>
        <v>24856.260452133276</v>
      </c>
      <c r="S250" s="656">
        <f t="shared" si="50"/>
        <v>2981948.1981746638</v>
      </c>
      <c r="T250" s="657">
        <f t="shared" si="54"/>
        <v>8104681.217419873</v>
      </c>
      <c r="V250" s="665">
        <f t="shared" si="55"/>
        <v>17215.761971827582</v>
      </c>
      <c r="W250" s="590">
        <f t="shared" si="51"/>
        <v>25222815.341318108</v>
      </c>
      <c r="X250" s="589" t="b">
        <f t="shared" si="52"/>
        <v>1</v>
      </c>
    </row>
    <row r="251" spans="6:24" hidden="1">
      <c r="I251" s="589">
        <v>249</v>
      </c>
      <c r="J251" s="654">
        <f t="shared" si="42"/>
        <v>62117.38548147284</v>
      </c>
      <c r="K251" s="655">
        <f t="shared" si="43"/>
        <v>-35480.401039313729</v>
      </c>
      <c r="L251" s="654">
        <f t="shared" si="46"/>
        <v>97597.786520786569</v>
      </c>
      <c r="M251" s="656">
        <f t="shared" si="47"/>
        <v>-5419657.9424178461</v>
      </c>
      <c r="N251" s="657">
        <f t="shared" si="53"/>
        <v>3547571.0424688845</v>
      </c>
      <c r="O251" s="589">
        <f t="shared" si="48"/>
        <v>273</v>
      </c>
      <c r="P251" s="654">
        <f t="shared" si="44"/>
        <v>44901.623509645258</v>
      </c>
      <c r="Q251" s="664">
        <f t="shared" si="45"/>
        <v>19879.654654497761</v>
      </c>
      <c r="R251" s="654">
        <f t="shared" si="49"/>
        <v>25021.968855147497</v>
      </c>
      <c r="S251" s="656">
        <f t="shared" si="50"/>
        <v>2956926.2293195161</v>
      </c>
      <c r="T251" s="657">
        <f t="shared" si="54"/>
        <v>8124560.8720743712</v>
      </c>
      <c r="V251" s="665">
        <f t="shared" si="55"/>
        <v>17215.761971827582</v>
      </c>
      <c r="W251" s="590">
        <f t="shared" si="51"/>
        <v>25535715.970719494</v>
      </c>
      <c r="X251" s="589" t="b">
        <f t="shared" si="52"/>
        <v>1</v>
      </c>
    </row>
    <row r="252" spans="6:24" hidden="1">
      <c r="I252" s="589">
        <v>250</v>
      </c>
      <c r="J252" s="654">
        <f t="shared" si="42"/>
        <v>62117.38548147284</v>
      </c>
      <c r="K252" s="655">
        <f t="shared" si="43"/>
        <v>-36131.052949452307</v>
      </c>
      <c r="L252" s="654">
        <f t="shared" si="46"/>
        <v>98248.438430925147</v>
      </c>
      <c r="M252" s="656">
        <f t="shared" si="47"/>
        <v>-5517906.380848771</v>
      </c>
      <c r="N252" s="657">
        <f t="shared" si="53"/>
        <v>3511439.9895194322</v>
      </c>
      <c r="O252" s="589">
        <f t="shared" si="48"/>
        <v>274</v>
      </c>
      <c r="P252" s="654">
        <f t="shared" si="44"/>
        <v>44901.623509645258</v>
      </c>
      <c r="Q252" s="664">
        <f t="shared" si="45"/>
        <v>19712.841528796776</v>
      </c>
      <c r="R252" s="654">
        <f t="shared" si="49"/>
        <v>25188.781980848482</v>
      </c>
      <c r="S252" s="656">
        <f t="shared" si="50"/>
        <v>2931737.4473386677</v>
      </c>
      <c r="T252" s="657">
        <f t="shared" si="54"/>
        <v>8144273.7136031678</v>
      </c>
      <c r="V252" s="665">
        <f t="shared" si="55"/>
        <v>17215.761971827582</v>
      </c>
      <c r="W252" s="590">
        <f t="shared" si="51"/>
        <v>25852282.204998486</v>
      </c>
      <c r="X252" s="589" t="b">
        <f t="shared" si="52"/>
        <v>1</v>
      </c>
    </row>
    <row r="253" spans="6:24" hidden="1">
      <c r="I253" s="589">
        <v>251</v>
      </c>
      <c r="J253" s="654">
        <f t="shared" si="42"/>
        <v>62117.38548147284</v>
      </c>
      <c r="K253" s="655">
        <f t="shared" si="43"/>
        <v>-36786.042538991809</v>
      </c>
      <c r="L253" s="654">
        <f t="shared" si="46"/>
        <v>98903.428020464649</v>
      </c>
      <c r="M253" s="656">
        <f t="shared" si="47"/>
        <v>-5616809.8088692352</v>
      </c>
      <c r="N253" s="657">
        <f t="shared" si="53"/>
        <v>3474653.9469804405</v>
      </c>
      <c r="O253" s="589">
        <f t="shared" si="48"/>
        <v>275</v>
      </c>
      <c r="P253" s="654">
        <f t="shared" si="44"/>
        <v>44901.623509645258</v>
      </c>
      <c r="Q253" s="664">
        <f t="shared" si="45"/>
        <v>19544.916315591119</v>
      </c>
      <c r="R253" s="654">
        <f t="shared" si="49"/>
        <v>25356.707194054139</v>
      </c>
      <c r="S253" s="656">
        <f t="shared" si="50"/>
        <v>2906380.7401446137</v>
      </c>
      <c r="T253" s="657">
        <f t="shared" si="54"/>
        <v>8163818.6299187588</v>
      </c>
      <c r="V253" s="665">
        <f t="shared" si="55"/>
        <v>17215.761971827582</v>
      </c>
      <c r="W253" s="590">
        <f t="shared" si="51"/>
        <v>26172556.986411687</v>
      </c>
      <c r="X253" s="589" t="b">
        <f t="shared" si="52"/>
        <v>1</v>
      </c>
    </row>
    <row r="254" spans="6:24" hidden="1">
      <c r="I254" s="589">
        <v>252</v>
      </c>
      <c r="J254" s="654">
        <f t="shared" si="42"/>
        <v>62117.38548147284</v>
      </c>
      <c r="K254" s="655">
        <f t="shared" si="43"/>
        <v>-37445.398725794905</v>
      </c>
      <c r="L254" s="654">
        <f t="shared" si="46"/>
        <v>99562.784207267745</v>
      </c>
      <c r="M254" s="656">
        <f t="shared" si="47"/>
        <v>-5716372.5930765029</v>
      </c>
      <c r="N254" s="657">
        <f t="shared" si="53"/>
        <v>3437208.5482546454</v>
      </c>
      <c r="O254" s="589">
        <f t="shared" si="48"/>
        <v>276</v>
      </c>
      <c r="P254" s="654">
        <f t="shared" si="44"/>
        <v>44901.623509645258</v>
      </c>
      <c r="Q254" s="664">
        <f t="shared" si="45"/>
        <v>19375.871600964092</v>
      </c>
      <c r="R254" s="654">
        <f t="shared" si="49"/>
        <v>25525.751908681166</v>
      </c>
      <c r="S254" s="656">
        <f t="shared" si="50"/>
        <v>2880854.9882359323</v>
      </c>
      <c r="T254" s="657">
        <f t="shared" si="54"/>
        <v>8183194.5015197229</v>
      </c>
      <c r="V254" s="665">
        <f t="shared" si="55"/>
        <v>17215.761971827582</v>
      </c>
      <c r="W254" s="590">
        <f t="shared" si="51"/>
        <v>26496583.760280669</v>
      </c>
      <c r="X254" s="589" t="b">
        <f t="shared" si="52"/>
        <v>1</v>
      </c>
    </row>
    <row r="255" spans="6:24" hidden="1">
      <c r="I255" s="589">
        <v>253</v>
      </c>
      <c r="J255" s="654">
        <f t="shared" si="42"/>
        <v>62117.38548147284</v>
      </c>
      <c r="K255" s="655">
        <f t="shared" si="43"/>
        <v>-38109.150620510023</v>
      </c>
      <c r="L255" s="654">
        <f t="shared" si="46"/>
        <v>100226.53610198287</v>
      </c>
      <c r="M255" s="656">
        <f t="shared" si="47"/>
        <v>-5816599.1291784858</v>
      </c>
      <c r="N255" s="657">
        <f t="shared" si="53"/>
        <v>3399099.3976341356</v>
      </c>
      <c r="O255" s="589">
        <f t="shared" si="48"/>
        <v>277</v>
      </c>
      <c r="P255" s="654">
        <f t="shared" si="44"/>
        <v>44901.623509645258</v>
      </c>
      <c r="Q255" s="664">
        <f t="shared" si="45"/>
        <v>19205.699921572883</v>
      </c>
      <c r="R255" s="654">
        <f t="shared" si="49"/>
        <v>25695.923588072375</v>
      </c>
      <c r="S255" s="656">
        <f t="shared" si="50"/>
        <v>2855159.0646478599</v>
      </c>
      <c r="T255" s="657">
        <f t="shared" si="54"/>
        <v>8202400.2014412954</v>
      </c>
      <c r="V255" s="665">
        <f t="shared" si="55"/>
        <v>17215.761971827582</v>
      </c>
      <c r="W255" s="590">
        <f t="shared" si="51"/>
        <v>26824406.480885334</v>
      </c>
      <c r="X255" s="589" t="b">
        <f t="shared" si="52"/>
        <v>1</v>
      </c>
    </row>
    <row r="256" spans="6:24" hidden="1">
      <c r="I256" s="589">
        <v>254</v>
      </c>
      <c r="J256" s="654">
        <f t="shared" si="42"/>
        <v>62117.38548147284</v>
      </c>
      <c r="K256" s="655">
        <f t="shared" si="43"/>
        <v>-38777.327527856578</v>
      </c>
      <c r="L256" s="654">
        <f t="shared" si="46"/>
        <v>100894.71300932943</v>
      </c>
      <c r="M256" s="656">
        <f t="shared" si="47"/>
        <v>-5917493.8421878153</v>
      </c>
      <c r="N256" s="657">
        <f t="shared" si="53"/>
        <v>3360322.0701062791</v>
      </c>
      <c r="O256" s="589">
        <f t="shared" si="48"/>
        <v>278</v>
      </c>
      <c r="P256" s="654">
        <f t="shared" si="44"/>
        <v>44901.623509645258</v>
      </c>
      <c r="Q256" s="664">
        <f t="shared" si="45"/>
        <v>19034.393764319066</v>
      </c>
      <c r="R256" s="654">
        <f t="shared" si="49"/>
        <v>25867.229745326193</v>
      </c>
      <c r="S256" s="656">
        <f t="shared" si="50"/>
        <v>2829291.8349025338</v>
      </c>
      <c r="T256" s="657">
        <f t="shared" si="54"/>
        <v>8221434.5952056143</v>
      </c>
      <c r="V256" s="665">
        <f t="shared" si="55"/>
        <v>17215.761971827582</v>
      </c>
      <c r="W256" s="590">
        <f t="shared" si="51"/>
        <v>27156069.617426325</v>
      </c>
      <c r="X256" s="589" t="b">
        <f t="shared" si="52"/>
        <v>1</v>
      </c>
    </row>
    <row r="257" spans="9:24" hidden="1">
      <c r="I257" s="589">
        <v>255</v>
      </c>
      <c r="J257" s="654">
        <f t="shared" si="42"/>
        <v>62117.38548147284</v>
      </c>
      <c r="K257" s="655">
        <f t="shared" si="43"/>
        <v>-39449.958947918771</v>
      </c>
      <c r="L257" s="654">
        <f t="shared" si="46"/>
        <v>101567.34442939161</v>
      </c>
      <c r="M257" s="656">
        <f t="shared" si="47"/>
        <v>-6019061.1866172068</v>
      </c>
      <c r="N257" s="657">
        <f t="shared" si="53"/>
        <v>3320872.1111583603</v>
      </c>
      <c r="O257" s="589">
        <f t="shared" si="48"/>
        <v>279</v>
      </c>
      <c r="P257" s="654">
        <f t="shared" si="44"/>
        <v>44901.623509645258</v>
      </c>
      <c r="Q257" s="664">
        <f t="shared" si="45"/>
        <v>18861.945566016893</v>
      </c>
      <c r="R257" s="654">
        <f t="shared" si="49"/>
        <v>26039.677943628365</v>
      </c>
      <c r="S257" s="656">
        <f t="shared" si="50"/>
        <v>2803252.1569589055</v>
      </c>
      <c r="T257" s="657">
        <f t="shared" si="54"/>
        <v>8240296.5407716315</v>
      </c>
      <c r="V257" s="665">
        <f t="shared" si="55"/>
        <v>17215.761971827582</v>
      </c>
      <c r="W257" s="590">
        <f t="shared" si="51"/>
        <v>27491618.160057269</v>
      </c>
      <c r="X257" s="589" t="b">
        <f t="shared" si="52"/>
        <v>1</v>
      </c>
    </row>
    <row r="258" spans="9:24" hidden="1">
      <c r="I258" s="589">
        <v>256</v>
      </c>
      <c r="J258" s="654">
        <f t="shared" si="42"/>
        <v>62117.38548147284</v>
      </c>
      <c r="K258" s="655">
        <f t="shared" si="43"/>
        <v>-40127.074577448046</v>
      </c>
      <c r="L258" s="654">
        <f t="shared" si="46"/>
        <v>102244.46005892089</v>
      </c>
      <c r="M258" s="656">
        <f t="shared" si="47"/>
        <v>-6121305.6466761278</v>
      </c>
      <c r="N258" s="657">
        <f t="shared" si="53"/>
        <v>3280745.0365809123</v>
      </c>
      <c r="O258" s="589">
        <f t="shared" si="48"/>
        <v>280</v>
      </c>
      <c r="P258" s="654">
        <f t="shared" si="44"/>
        <v>44901.623509645258</v>
      </c>
      <c r="Q258" s="664">
        <f t="shared" si="45"/>
        <v>18688.347713059371</v>
      </c>
      <c r="R258" s="654">
        <f t="shared" si="49"/>
        <v>26213.275796585887</v>
      </c>
      <c r="S258" s="656">
        <f t="shared" si="50"/>
        <v>2777038.8811623198</v>
      </c>
      <c r="T258" s="657">
        <f t="shared" si="54"/>
        <v>8258984.8884846913</v>
      </c>
      <c r="V258" s="665">
        <f t="shared" si="55"/>
        <v>17215.761971827582</v>
      </c>
      <c r="W258" s="590">
        <f t="shared" si="51"/>
        <v>27831097.625987712</v>
      </c>
      <c r="X258" s="589" t="b">
        <f t="shared" si="52"/>
        <v>1</v>
      </c>
    </row>
    <row r="259" spans="9:24" hidden="1">
      <c r="I259" s="589">
        <v>257</v>
      </c>
      <c r="J259" s="654">
        <f t="shared" ref="J259:J322" si="56">$C$8</f>
        <v>62117.38548147284</v>
      </c>
      <c r="K259" s="655">
        <f t="shared" ref="K259:K322" si="57">M258*($C$6/12)</f>
        <v>-40808.704311174188</v>
      </c>
      <c r="L259" s="654">
        <f t="shared" si="46"/>
        <v>102926.08979264702</v>
      </c>
      <c r="M259" s="656">
        <f t="shared" si="47"/>
        <v>-6224231.7364687752</v>
      </c>
      <c r="N259" s="657">
        <f t="shared" si="53"/>
        <v>3239936.332269738</v>
      </c>
      <c r="O259" s="589">
        <f t="shared" si="48"/>
        <v>281</v>
      </c>
      <c r="P259" s="654">
        <f t="shared" ref="P259:P322" si="58">$C$15</f>
        <v>44901.623509645258</v>
      </c>
      <c r="Q259" s="664">
        <f t="shared" ref="Q259:Q322" si="59">S258*($C$6/12)</f>
        <v>18513.592541082133</v>
      </c>
      <c r="R259" s="654">
        <f t="shared" si="49"/>
        <v>26388.030968563125</v>
      </c>
      <c r="S259" s="656">
        <f t="shared" si="50"/>
        <v>2750650.8501937566</v>
      </c>
      <c r="T259" s="657">
        <f t="shared" si="54"/>
        <v>8277498.4810257731</v>
      </c>
      <c r="V259" s="665">
        <f t="shared" si="55"/>
        <v>17215.761971827582</v>
      </c>
      <c r="W259" s="590">
        <f t="shared" si="51"/>
        <v>28174554.065657526</v>
      </c>
      <c r="X259" s="589" t="b">
        <f t="shared" si="52"/>
        <v>1</v>
      </c>
    </row>
    <row r="260" spans="9:24" hidden="1">
      <c r="I260" s="589">
        <v>258</v>
      </c>
      <c r="J260" s="654">
        <f t="shared" si="56"/>
        <v>62117.38548147284</v>
      </c>
      <c r="K260" s="655">
        <f t="shared" si="57"/>
        <v>-41494.878243125168</v>
      </c>
      <c r="L260" s="654">
        <f t="shared" ref="L260:L323" si="60">J260-K260</f>
        <v>103612.26372459801</v>
      </c>
      <c r="M260" s="656">
        <f t="shared" ref="M260:M323" si="61">M259-L260</f>
        <v>-6327844.0001933733</v>
      </c>
      <c r="N260" s="657">
        <f t="shared" si="53"/>
        <v>3198441.4540266129</v>
      </c>
      <c r="O260" s="589">
        <f t="shared" ref="O260:O323" si="62">O259+1</f>
        <v>282</v>
      </c>
      <c r="P260" s="654">
        <f t="shared" si="58"/>
        <v>44901.623509645258</v>
      </c>
      <c r="Q260" s="664">
        <f t="shared" si="59"/>
        <v>18337.672334625044</v>
      </c>
      <c r="R260" s="654">
        <f t="shared" ref="R260:R323" si="63">P260-Q260</f>
        <v>26563.951175020215</v>
      </c>
      <c r="S260" s="656">
        <f t="shared" ref="S260:S323" si="64">S259-R260</f>
        <v>2724086.8990187366</v>
      </c>
      <c r="T260" s="657">
        <f t="shared" si="54"/>
        <v>8295836.1533603985</v>
      </c>
      <c r="V260" s="665">
        <f t="shared" si="55"/>
        <v>17215.761971827582</v>
      </c>
      <c r="W260" s="590">
        <f t="shared" ref="W260:W323" si="65">FV((1+Scenario1)^(1/12)-1,1,-V260,-W259,1)</f>
        <v>28522034.068983663</v>
      </c>
      <c r="X260" s="589" t="b">
        <f t="shared" ref="X260:X323" si="66">W260&gt;=S260</f>
        <v>1</v>
      </c>
    </row>
    <row r="261" spans="9:24" hidden="1">
      <c r="I261" s="589">
        <v>259</v>
      </c>
      <c r="J261" s="654">
        <f t="shared" si="56"/>
        <v>62117.38548147284</v>
      </c>
      <c r="K261" s="655">
        <f t="shared" si="57"/>
        <v>-42185.626667955825</v>
      </c>
      <c r="L261" s="654">
        <f t="shared" si="60"/>
        <v>104303.01214942866</v>
      </c>
      <c r="M261" s="656">
        <f t="shared" si="61"/>
        <v>-6432147.0123428022</v>
      </c>
      <c r="N261" s="657">
        <f t="shared" ref="N261:N324" si="67">N260+K261</f>
        <v>3156255.827358657</v>
      </c>
      <c r="O261" s="589">
        <f t="shared" si="62"/>
        <v>283</v>
      </c>
      <c r="P261" s="654">
        <f t="shared" si="58"/>
        <v>44901.623509645258</v>
      </c>
      <c r="Q261" s="664">
        <f t="shared" si="59"/>
        <v>18160.57932679158</v>
      </c>
      <c r="R261" s="654">
        <f t="shared" si="63"/>
        <v>26741.044182853679</v>
      </c>
      <c r="S261" s="656">
        <f t="shared" si="64"/>
        <v>2697345.8548358828</v>
      </c>
      <c r="T261" s="657">
        <f t="shared" ref="T261:T324" si="68">T260+Q261</f>
        <v>8313996.7326871902</v>
      </c>
      <c r="V261" s="665">
        <f t="shared" ref="V261:V324" si="69">V260</f>
        <v>17215.761971827582</v>
      </c>
      <c r="W261" s="590">
        <f t="shared" si="65"/>
        <v>28873584.771680076</v>
      </c>
      <c r="X261" s="589" t="b">
        <f t="shared" si="66"/>
        <v>1</v>
      </c>
    </row>
    <row r="262" spans="9:24" hidden="1">
      <c r="I262" s="589">
        <v>260</v>
      </c>
      <c r="J262" s="654">
        <f t="shared" si="56"/>
        <v>62117.38548147284</v>
      </c>
      <c r="K262" s="655">
        <f t="shared" si="57"/>
        <v>-42880.98008228535</v>
      </c>
      <c r="L262" s="654">
        <f t="shared" si="60"/>
        <v>104998.36556375818</v>
      </c>
      <c r="M262" s="656">
        <f t="shared" si="61"/>
        <v>-6537145.3779065609</v>
      </c>
      <c r="N262" s="657">
        <f t="shared" si="67"/>
        <v>3113374.8472763719</v>
      </c>
      <c r="O262" s="589">
        <f t="shared" si="62"/>
        <v>284</v>
      </c>
      <c r="P262" s="654">
        <f t="shared" si="58"/>
        <v>44901.623509645258</v>
      </c>
      <c r="Q262" s="664">
        <f t="shared" si="59"/>
        <v>17982.305698905886</v>
      </c>
      <c r="R262" s="654">
        <f t="shared" si="63"/>
        <v>26919.317810739372</v>
      </c>
      <c r="S262" s="656">
        <f t="shared" si="64"/>
        <v>2670426.5370251434</v>
      </c>
      <c r="T262" s="657">
        <f t="shared" si="68"/>
        <v>8331979.0383860962</v>
      </c>
      <c r="V262" s="665">
        <f t="shared" si="69"/>
        <v>17215.761971827582</v>
      </c>
      <c r="W262" s="590">
        <f t="shared" si="65"/>
        <v>29229253.861651693</v>
      </c>
      <c r="X262" s="589" t="b">
        <f t="shared" si="66"/>
        <v>1</v>
      </c>
    </row>
    <row r="263" spans="9:24" hidden="1">
      <c r="I263" s="589">
        <v>261</v>
      </c>
      <c r="J263" s="654">
        <f t="shared" si="56"/>
        <v>62117.38548147284</v>
      </c>
      <c r="K263" s="655">
        <f t="shared" si="57"/>
        <v>-43580.969186043745</v>
      </c>
      <c r="L263" s="654">
        <f t="shared" si="60"/>
        <v>105698.35466751659</v>
      </c>
      <c r="M263" s="656">
        <f t="shared" si="61"/>
        <v>-6642843.7325740773</v>
      </c>
      <c r="N263" s="657">
        <f t="shared" si="67"/>
        <v>3069793.8780903281</v>
      </c>
      <c r="O263" s="589">
        <f t="shared" si="62"/>
        <v>285</v>
      </c>
      <c r="P263" s="654">
        <f t="shared" si="58"/>
        <v>44901.623509645258</v>
      </c>
      <c r="Q263" s="664">
        <f t="shared" si="59"/>
        <v>17802.843580167624</v>
      </c>
      <c r="R263" s="654">
        <f t="shared" si="63"/>
        <v>27098.779929477634</v>
      </c>
      <c r="S263" s="656">
        <f t="shared" si="64"/>
        <v>2643327.7570956657</v>
      </c>
      <c r="T263" s="657">
        <f t="shared" si="68"/>
        <v>8349781.881966264</v>
      </c>
      <c r="V263" s="665">
        <f t="shared" si="69"/>
        <v>17215.761971827582</v>
      </c>
      <c r="W263" s="590">
        <f t="shared" si="65"/>
        <v>29589089.585463285</v>
      </c>
      <c r="X263" s="589" t="b">
        <f t="shared" si="66"/>
        <v>1</v>
      </c>
    </row>
    <row r="264" spans="9:24" hidden="1">
      <c r="I264" s="589">
        <v>262</v>
      </c>
      <c r="J264" s="654">
        <f t="shared" si="56"/>
        <v>62117.38548147284</v>
      </c>
      <c r="K264" s="655">
        <f t="shared" si="57"/>
        <v>-44285.624883827186</v>
      </c>
      <c r="L264" s="654">
        <f t="shared" si="60"/>
        <v>106403.01036530003</v>
      </c>
      <c r="M264" s="656">
        <f t="shared" si="61"/>
        <v>-6749246.7429393772</v>
      </c>
      <c r="N264" s="657">
        <f t="shared" si="67"/>
        <v>3025508.2532065008</v>
      </c>
      <c r="O264" s="589">
        <f t="shared" si="62"/>
        <v>286</v>
      </c>
      <c r="P264" s="654">
        <f t="shared" si="58"/>
        <v>44901.623509645258</v>
      </c>
      <c r="Q264" s="664">
        <f t="shared" si="59"/>
        <v>17622.18504730444</v>
      </c>
      <c r="R264" s="654">
        <f t="shared" si="63"/>
        <v>27279.438462340819</v>
      </c>
      <c r="S264" s="656">
        <f t="shared" si="64"/>
        <v>2616048.3186333249</v>
      </c>
      <c r="T264" s="657">
        <f t="shared" si="68"/>
        <v>8367404.0670135682</v>
      </c>
      <c r="V264" s="665">
        <f t="shared" si="69"/>
        <v>17215.761971827582</v>
      </c>
      <c r="W264" s="590">
        <f t="shared" si="65"/>
        <v>29953140.754884128</v>
      </c>
      <c r="X264" s="589" t="b">
        <f t="shared" si="66"/>
        <v>1</v>
      </c>
    </row>
    <row r="265" spans="9:24" hidden="1">
      <c r="I265" s="589">
        <v>263</v>
      </c>
      <c r="J265" s="654">
        <f t="shared" si="56"/>
        <v>62117.38548147284</v>
      </c>
      <c r="K265" s="655">
        <f t="shared" si="57"/>
        <v>-44994.978286262514</v>
      </c>
      <c r="L265" s="654">
        <f t="shared" si="60"/>
        <v>107112.36376773535</v>
      </c>
      <c r="M265" s="656">
        <f t="shared" si="61"/>
        <v>-6856359.1067071129</v>
      </c>
      <c r="N265" s="657">
        <f t="shared" si="67"/>
        <v>2980513.2749202382</v>
      </c>
      <c r="O265" s="589">
        <f t="shared" si="62"/>
        <v>287</v>
      </c>
      <c r="P265" s="654">
        <f t="shared" si="58"/>
        <v>44901.623509645258</v>
      </c>
      <c r="Q265" s="664">
        <f t="shared" si="59"/>
        <v>17440.322124222166</v>
      </c>
      <c r="R265" s="654">
        <f t="shared" si="63"/>
        <v>27461.301385423092</v>
      </c>
      <c r="S265" s="656">
        <f t="shared" si="64"/>
        <v>2588587.0172479018</v>
      </c>
      <c r="T265" s="657">
        <f t="shared" si="68"/>
        <v>8384844.3891377905</v>
      </c>
      <c r="V265" s="665">
        <f t="shared" si="69"/>
        <v>17215.761971827582</v>
      </c>
      <c r="W265" s="590">
        <f t="shared" si="65"/>
        <v>30321456.753509309</v>
      </c>
      <c r="X265" s="589" t="b">
        <f t="shared" si="66"/>
        <v>1</v>
      </c>
    </row>
    <row r="266" spans="9:24" hidden="1">
      <c r="I266" s="589">
        <v>264</v>
      </c>
      <c r="J266" s="654">
        <f t="shared" si="56"/>
        <v>62117.38548147284</v>
      </c>
      <c r="K266" s="655">
        <f t="shared" si="57"/>
        <v>-45709.060711380756</v>
      </c>
      <c r="L266" s="654">
        <f t="shared" si="60"/>
        <v>107826.44619285359</v>
      </c>
      <c r="M266" s="656">
        <f t="shared" si="61"/>
        <v>-6964185.552899966</v>
      </c>
      <c r="N266" s="657">
        <f t="shared" si="67"/>
        <v>2934804.2142088576</v>
      </c>
      <c r="O266" s="589">
        <f t="shared" si="62"/>
        <v>288</v>
      </c>
      <c r="P266" s="654">
        <f t="shared" si="58"/>
        <v>44901.623509645258</v>
      </c>
      <c r="Q266" s="664">
        <f t="shared" si="59"/>
        <v>17257.246781652681</v>
      </c>
      <c r="R266" s="654">
        <f t="shared" si="63"/>
        <v>27644.376727992578</v>
      </c>
      <c r="S266" s="656">
        <f t="shared" si="64"/>
        <v>2560942.6405199091</v>
      </c>
      <c r="T266" s="657">
        <f t="shared" si="68"/>
        <v>8402101.6359194424</v>
      </c>
      <c r="V266" s="665">
        <f t="shared" si="69"/>
        <v>17215.761971827582</v>
      </c>
      <c r="W266" s="590">
        <f t="shared" si="65"/>
        <v>30694087.543458637</v>
      </c>
      <c r="X266" s="589" t="b">
        <f t="shared" si="66"/>
        <v>1</v>
      </c>
    </row>
    <row r="267" spans="9:24" hidden="1">
      <c r="I267" s="589">
        <v>265</v>
      </c>
      <c r="J267" s="654">
        <f t="shared" si="56"/>
        <v>62117.38548147284</v>
      </c>
      <c r="K267" s="655">
        <f t="shared" si="57"/>
        <v>-46427.90368599978</v>
      </c>
      <c r="L267" s="654">
        <f t="shared" si="60"/>
        <v>108545.28916747263</v>
      </c>
      <c r="M267" s="656">
        <f t="shared" si="61"/>
        <v>-7072730.8420674391</v>
      </c>
      <c r="N267" s="657">
        <f t="shared" si="67"/>
        <v>2888376.3105228581</v>
      </c>
      <c r="O267" s="589">
        <f t="shared" si="62"/>
        <v>289</v>
      </c>
      <c r="P267" s="654">
        <f t="shared" si="58"/>
        <v>44901.623509645258</v>
      </c>
      <c r="Q267" s="664">
        <f t="shared" si="59"/>
        <v>17072.950936799396</v>
      </c>
      <c r="R267" s="654">
        <f t="shared" si="63"/>
        <v>27828.672572845862</v>
      </c>
      <c r="S267" s="656">
        <f t="shared" si="64"/>
        <v>2533113.967947063</v>
      </c>
      <c r="T267" s="657">
        <f t="shared" si="68"/>
        <v>8419174.5868562423</v>
      </c>
      <c r="V267" s="665">
        <f t="shared" si="69"/>
        <v>17215.761971827582</v>
      </c>
      <c r="W267" s="590">
        <f t="shared" si="65"/>
        <v>31071083.672154002</v>
      </c>
      <c r="X267" s="589" t="b">
        <f t="shared" si="66"/>
        <v>1</v>
      </c>
    </row>
    <row r="268" spans="9:24" hidden="1">
      <c r="I268" s="589">
        <v>266</v>
      </c>
      <c r="J268" s="654">
        <f t="shared" si="56"/>
        <v>62117.38548147284</v>
      </c>
      <c r="K268" s="655">
        <f t="shared" si="57"/>
        <v>-47151.538947116263</v>
      </c>
      <c r="L268" s="654">
        <f t="shared" si="60"/>
        <v>109268.9244285891</v>
      </c>
      <c r="M268" s="656">
        <f t="shared" si="61"/>
        <v>-7181999.7664960278</v>
      </c>
      <c r="N268" s="657">
        <f t="shared" si="67"/>
        <v>2841224.7715757419</v>
      </c>
      <c r="O268" s="589">
        <f t="shared" si="62"/>
        <v>290</v>
      </c>
      <c r="P268" s="654">
        <f t="shared" si="58"/>
        <v>44901.623509645258</v>
      </c>
      <c r="Q268" s="664">
        <f t="shared" si="59"/>
        <v>16887.42645298042</v>
      </c>
      <c r="R268" s="654">
        <f t="shared" si="63"/>
        <v>28014.197056664838</v>
      </c>
      <c r="S268" s="656">
        <f t="shared" si="64"/>
        <v>2505099.7708903984</v>
      </c>
      <c r="T268" s="657">
        <f t="shared" si="68"/>
        <v>8436062.0133092236</v>
      </c>
      <c r="V268" s="665">
        <f t="shared" si="69"/>
        <v>17215.761971827582</v>
      </c>
      <c r="W268" s="590">
        <f t="shared" si="65"/>
        <v>31452496.279176138</v>
      </c>
      <c r="X268" s="589" t="b">
        <f t="shared" si="66"/>
        <v>1</v>
      </c>
    </row>
    <row r="269" spans="9:24" hidden="1">
      <c r="I269" s="589">
        <v>267</v>
      </c>
      <c r="J269" s="654">
        <f t="shared" si="56"/>
        <v>62117.38548147284</v>
      </c>
      <c r="K269" s="655">
        <f t="shared" si="57"/>
        <v>-47879.998443306853</v>
      </c>
      <c r="L269" s="654">
        <f t="shared" si="60"/>
        <v>109997.38392477969</v>
      </c>
      <c r="M269" s="656">
        <f t="shared" si="61"/>
        <v>-7291997.1504208073</v>
      </c>
      <c r="N269" s="657">
        <f t="shared" si="67"/>
        <v>2793344.773132435</v>
      </c>
      <c r="O269" s="589">
        <f t="shared" si="62"/>
        <v>291</v>
      </c>
      <c r="P269" s="654">
        <f t="shared" si="58"/>
        <v>44901.623509645258</v>
      </c>
      <c r="Q269" s="664">
        <f t="shared" si="59"/>
        <v>16700.665139269324</v>
      </c>
      <c r="R269" s="654">
        <f t="shared" si="63"/>
        <v>28200.958370375934</v>
      </c>
      <c r="S269" s="656">
        <f t="shared" si="64"/>
        <v>2476898.8125200225</v>
      </c>
      <c r="T269" s="657">
        <f t="shared" si="68"/>
        <v>8452762.6784484927</v>
      </c>
      <c r="V269" s="665">
        <f t="shared" si="69"/>
        <v>17215.761971827582</v>
      </c>
      <c r="W269" s="590">
        <f t="shared" si="65"/>
        <v>31838377.103201725</v>
      </c>
      <c r="X269" s="589" t="b">
        <f t="shared" si="66"/>
        <v>1</v>
      </c>
    </row>
    <row r="270" spans="9:24" hidden="1">
      <c r="I270" s="589">
        <v>268</v>
      </c>
      <c r="J270" s="654">
        <f t="shared" si="56"/>
        <v>62117.38548147284</v>
      </c>
      <c r="K270" s="655">
        <f t="shared" si="57"/>
        <v>-48613.314336138719</v>
      </c>
      <c r="L270" s="654">
        <f t="shared" si="60"/>
        <v>110730.69981761156</v>
      </c>
      <c r="M270" s="656">
        <f t="shared" si="61"/>
        <v>-7402727.8502384191</v>
      </c>
      <c r="N270" s="657">
        <f t="shared" si="67"/>
        <v>2744731.4587962963</v>
      </c>
      <c r="O270" s="589">
        <f t="shared" si="62"/>
        <v>292</v>
      </c>
      <c r="P270" s="654">
        <f t="shared" si="58"/>
        <v>44901.623509645258</v>
      </c>
      <c r="Q270" s="664">
        <f t="shared" si="59"/>
        <v>16512.658750133483</v>
      </c>
      <c r="R270" s="654">
        <f t="shared" si="63"/>
        <v>28388.964759511775</v>
      </c>
      <c r="S270" s="656">
        <f t="shared" si="64"/>
        <v>2448509.8477605106</v>
      </c>
      <c r="T270" s="657">
        <f t="shared" si="68"/>
        <v>8469275.3371986263</v>
      </c>
      <c r="V270" s="665">
        <f t="shared" si="69"/>
        <v>17215.761971827582</v>
      </c>
      <c r="W270" s="590">
        <f t="shared" si="65"/>
        <v>32228778.489021737</v>
      </c>
      <c r="X270" s="589" t="b">
        <f t="shared" si="66"/>
        <v>1</v>
      </c>
    </row>
    <row r="271" spans="9:24" hidden="1">
      <c r="I271" s="589">
        <v>269</v>
      </c>
      <c r="J271" s="654">
        <f t="shared" si="56"/>
        <v>62117.38548147284</v>
      </c>
      <c r="K271" s="655">
        <f t="shared" si="57"/>
        <v>-49351.519001589462</v>
      </c>
      <c r="L271" s="654">
        <f t="shared" si="60"/>
        <v>111468.9044830623</v>
      </c>
      <c r="M271" s="656">
        <f t="shared" si="61"/>
        <v>-7514196.7547214814</v>
      </c>
      <c r="N271" s="657">
        <f t="shared" si="67"/>
        <v>2695379.9397947066</v>
      </c>
      <c r="O271" s="589">
        <f t="shared" si="62"/>
        <v>293</v>
      </c>
      <c r="P271" s="654">
        <f t="shared" si="58"/>
        <v>44901.623509645258</v>
      </c>
      <c r="Q271" s="664">
        <f t="shared" si="59"/>
        <v>16323.398985070073</v>
      </c>
      <c r="R271" s="654">
        <f t="shared" si="63"/>
        <v>28578.224524575184</v>
      </c>
      <c r="S271" s="656">
        <f t="shared" si="64"/>
        <v>2419931.6232359353</v>
      </c>
      <c r="T271" s="657">
        <f t="shared" si="68"/>
        <v>8485598.7361836955</v>
      </c>
      <c r="V271" s="665">
        <f t="shared" si="69"/>
        <v>17215.761971827582</v>
      </c>
      <c r="W271" s="590">
        <f t="shared" si="65"/>
        <v>32623753.394642025</v>
      </c>
      <c r="X271" s="589" t="b">
        <f t="shared" si="66"/>
        <v>1</v>
      </c>
    </row>
    <row r="272" spans="9:24" hidden="1">
      <c r="I272" s="589">
        <v>270</v>
      </c>
      <c r="J272" s="654">
        <f t="shared" si="56"/>
        <v>62117.38548147284</v>
      </c>
      <c r="K272" s="655">
        <f t="shared" si="57"/>
        <v>-50094.645031476546</v>
      </c>
      <c r="L272" s="654">
        <f t="shared" si="60"/>
        <v>112212.03051294939</v>
      </c>
      <c r="M272" s="656">
        <f t="shared" si="61"/>
        <v>-7626408.7852344308</v>
      </c>
      <c r="N272" s="657">
        <f t="shared" si="67"/>
        <v>2645285.2947632303</v>
      </c>
      <c r="O272" s="589">
        <f t="shared" si="62"/>
        <v>294</v>
      </c>
      <c r="P272" s="654">
        <f t="shared" si="58"/>
        <v>44901.623509645258</v>
      </c>
      <c r="Q272" s="664">
        <f t="shared" si="59"/>
        <v>16132.87748823957</v>
      </c>
      <c r="R272" s="654">
        <f t="shared" si="63"/>
        <v>28768.746021405688</v>
      </c>
      <c r="S272" s="656">
        <f t="shared" si="64"/>
        <v>2391162.8772145296</v>
      </c>
      <c r="T272" s="657">
        <f t="shared" si="68"/>
        <v>8501731.6136719342</v>
      </c>
      <c r="V272" s="665">
        <f t="shared" si="69"/>
        <v>17215.761971827582</v>
      </c>
      <c r="W272" s="590">
        <f t="shared" si="65"/>
        <v>33023355.398467083</v>
      </c>
      <c r="X272" s="589" t="b">
        <f t="shared" si="66"/>
        <v>1</v>
      </c>
    </row>
    <row r="273" spans="9:24" hidden="1">
      <c r="I273" s="589">
        <v>271</v>
      </c>
      <c r="J273" s="654">
        <f t="shared" si="56"/>
        <v>62117.38548147284</v>
      </c>
      <c r="K273" s="655">
        <f t="shared" si="57"/>
        <v>-50842.725234896207</v>
      </c>
      <c r="L273" s="654">
        <f t="shared" si="60"/>
        <v>112960.11071636905</v>
      </c>
      <c r="M273" s="656">
        <f t="shared" si="61"/>
        <v>-7739368.8959507998</v>
      </c>
      <c r="N273" s="657">
        <f t="shared" si="67"/>
        <v>2594442.5695283338</v>
      </c>
      <c r="O273" s="589">
        <f t="shared" si="62"/>
        <v>295</v>
      </c>
      <c r="P273" s="654">
        <f t="shared" si="58"/>
        <v>44901.623509645258</v>
      </c>
      <c r="Q273" s="664">
        <f t="shared" si="59"/>
        <v>15941.085848096865</v>
      </c>
      <c r="R273" s="654">
        <f t="shared" si="63"/>
        <v>28960.537661548391</v>
      </c>
      <c r="S273" s="656">
        <f t="shared" si="64"/>
        <v>2362202.3395529813</v>
      </c>
      <c r="T273" s="657">
        <f t="shared" si="68"/>
        <v>8517672.699520031</v>
      </c>
      <c r="V273" s="665">
        <f t="shared" si="69"/>
        <v>17215.761971827582</v>
      </c>
      <c r="W273" s="590">
        <f t="shared" si="65"/>
        <v>33427638.706567958</v>
      </c>
      <c r="X273" s="589" t="b">
        <f t="shared" si="66"/>
        <v>1</v>
      </c>
    </row>
    <row r="274" spans="9:24" hidden="1">
      <c r="I274" s="589">
        <v>272</v>
      </c>
      <c r="J274" s="654">
        <f t="shared" si="56"/>
        <v>62117.38548147284</v>
      </c>
      <c r="K274" s="655">
        <f t="shared" si="57"/>
        <v>-51595.792639671999</v>
      </c>
      <c r="L274" s="654">
        <f t="shared" si="60"/>
        <v>113713.17812114484</v>
      </c>
      <c r="M274" s="656">
        <f t="shared" si="61"/>
        <v>-7853082.0740719447</v>
      </c>
      <c r="N274" s="657">
        <f t="shared" si="67"/>
        <v>2542846.776888662</v>
      </c>
      <c r="O274" s="589">
        <f t="shared" si="62"/>
        <v>296</v>
      </c>
      <c r="P274" s="654">
        <f t="shared" si="58"/>
        <v>44901.623509645258</v>
      </c>
      <c r="Q274" s="664">
        <f t="shared" si="59"/>
        <v>15748.015597019876</v>
      </c>
      <c r="R274" s="654">
        <f t="shared" si="63"/>
        <v>29153.607912625383</v>
      </c>
      <c r="S274" s="656">
        <f t="shared" si="64"/>
        <v>2333048.7316403561</v>
      </c>
      <c r="T274" s="657">
        <f t="shared" si="68"/>
        <v>8533420.7151170503</v>
      </c>
      <c r="V274" s="665">
        <f t="shared" si="69"/>
        <v>17215.761971827582</v>
      </c>
      <c r="W274" s="590">
        <f t="shared" si="65"/>
        <v>33836658.16003532</v>
      </c>
      <c r="X274" s="589" t="b">
        <f t="shared" si="66"/>
        <v>1</v>
      </c>
    </row>
    <row r="275" spans="9:24" hidden="1">
      <c r="I275" s="589">
        <v>273</v>
      </c>
      <c r="J275" s="654">
        <f t="shared" si="56"/>
        <v>62117.38548147284</v>
      </c>
      <c r="K275" s="655">
        <f t="shared" si="57"/>
        <v>-52353.880493812969</v>
      </c>
      <c r="L275" s="654">
        <f t="shared" si="60"/>
        <v>114471.26597528582</v>
      </c>
      <c r="M275" s="656">
        <f t="shared" si="61"/>
        <v>-7967553.3400472309</v>
      </c>
      <c r="N275" s="657">
        <f t="shared" si="67"/>
        <v>2490492.8963948488</v>
      </c>
      <c r="O275" s="589">
        <f t="shared" si="62"/>
        <v>297</v>
      </c>
      <c r="P275" s="654">
        <f t="shared" si="58"/>
        <v>44901.623509645258</v>
      </c>
      <c r="Q275" s="664">
        <f t="shared" si="59"/>
        <v>15553.658210935708</v>
      </c>
      <c r="R275" s="654">
        <f t="shared" si="63"/>
        <v>29347.965298709551</v>
      </c>
      <c r="S275" s="656">
        <f t="shared" si="64"/>
        <v>2303700.7663416467</v>
      </c>
      <c r="T275" s="657">
        <f t="shared" si="68"/>
        <v>8548974.3733279854</v>
      </c>
      <c r="V275" s="665">
        <f t="shared" si="69"/>
        <v>17215.761971827582</v>
      </c>
      <c r="W275" s="590">
        <f t="shared" si="65"/>
        <v>34250469.242418654</v>
      </c>
      <c r="X275" s="589" t="b">
        <f t="shared" si="66"/>
        <v>1</v>
      </c>
    </row>
    <row r="276" spans="9:24" hidden="1">
      <c r="I276" s="589">
        <v>274</v>
      </c>
      <c r="J276" s="654">
        <f t="shared" si="56"/>
        <v>62117.38548147284</v>
      </c>
      <c r="K276" s="655">
        <f t="shared" si="57"/>
        <v>-53117.022266981541</v>
      </c>
      <c r="L276" s="654">
        <f t="shared" si="60"/>
        <v>115234.40774845438</v>
      </c>
      <c r="M276" s="656">
        <f t="shared" si="61"/>
        <v>-8082787.7477956852</v>
      </c>
      <c r="N276" s="657">
        <f t="shared" si="67"/>
        <v>2437375.8741278672</v>
      </c>
      <c r="O276" s="589">
        <f t="shared" si="62"/>
        <v>298</v>
      </c>
      <c r="P276" s="654">
        <f t="shared" si="58"/>
        <v>44901.623509645258</v>
      </c>
      <c r="Q276" s="664">
        <f t="shared" si="59"/>
        <v>15358.005108944311</v>
      </c>
      <c r="R276" s="654">
        <f t="shared" si="63"/>
        <v>29543.618400700947</v>
      </c>
      <c r="S276" s="656">
        <f t="shared" si="64"/>
        <v>2274157.1479409458</v>
      </c>
      <c r="T276" s="657">
        <f t="shared" si="68"/>
        <v>8564332.3784369305</v>
      </c>
      <c r="V276" s="665">
        <f t="shared" si="69"/>
        <v>17215.761971827582</v>
      </c>
      <c r="W276" s="590">
        <f t="shared" si="65"/>
        <v>34669128.087252624</v>
      </c>
      <c r="X276" s="589" t="b">
        <f t="shared" si="66"/>
        <v>1</v>
      </c>
    </row>
    <row r="277" spans="9:24" hidden="1">
      <c r="I277" s="589">
        <v>275</v>
      </c>
      <c r="J277" s="654">
        <f t="shared" si="56"/>
        <v>62117.38548147284</v>
      </c>
      <c r="K277" s="655">
        <f t="shared" si="57"/>
        <v>-53885.251651971237</v>
      </c>
      <c r="L277" s="654">
        <f t="shared" si="60"/>
        <v>116002.63713344408</v>
      </c>
      <c r="M277" s="656">
        <f t="shared" si="61"/>
        <v>-8198790.3849291289</v>
      </c>
      <c r="N277" s="657">
        <f t="shared" si="67"/>
        <v>2383490.622475896</v>
      </c>
      <c r="O277" s="589">
        <f t="shared" si="62"/>
        <v>299</v>
      </c>
      <c r="P277" s="654">
        <f t="shared" si="58"/>
        <v>44901.623509645258</v>
      </c>
      <c r="Q277" s="664">
        <f t="shared" si="59"/>
        <v>15161.04765293964</v>
      </c>
      <c r="R277" s="654">
        <f t="shared" si="63"/>
        <v>29740.575856705618</v>
      </c>
      <c r="S277" s="656">
        <f t="shared" si="64"/>
        <v>2244416.5720842401</v>
      </c>
      <c r="T277" s="657">
        <f t="shared" si="68"/>
        <v>8579493.4260898698</v>
      </c>
      <c r="V277" s="665">
        <f t="shared" si="69"/>
        <v>17215.761971827582</v>
      </c>
      <c r="W277" s="590">
        <f t="shared" si="65"/>
        <v>35092691.485671587</v>
      </c>
      <c r="X277" s="589" t="b">
        <f t="shared" si="66"/>
        <v>1</v>
      </c>
    </row>
    <row r="278" spans="9:24" hidden="1">
      <c r="I278" s="589">
        <v>276</v>
      </c>
      <c r="J278" s="654">
        <f t="shared" si="56"/>
        <v>62117.38548147284</v>
      </c>
      <c r="K278" s="655">
        <f t="shared" si="57"/>
        <v>-54658.602566194197</v>
      </c>
      <c r="L278" s="654">
        <f t="shared" si="60"/>
        <v>116775.98804766704</v>
      </c>
      <c r="M278" s="656">
        <f t="shared" si="61"/>
        <v>-8315566.3729767958</v>
      </c>
      <c r="N278" s="657">
        <f t="shared" si="67"/>
        <v>2328832.0199097018</v>
      </c>
      <c r="O278" s="589">
        <f t="shared" si="62"/>
        <v>300</v>
      </c>
      <c r="P278" s="654">
        <f t="shared" si="58"/>
        <v>44901.623509645258</v>
      </c>
      <c r="Q278" s="664">
        <f t="shared" si="59"/>
        <v>14962.777147228269</v>
      </c>
      <c r="R278" s="654">
        <f t="shared" si="63"/>
        <v>29938.846362416989</v>
      </c>
      <c r="S278" s="656">
        <f t="shared" si="64"/>
        <v>2214477.7257218231</v>
      </c>
      <c r="T278" s="657">
        <f t="shared" si="68"/>
        <v>8594456.2032370977</v>
      </c>
      <c r="V278" s="665">
        <f t="shared" si="69"/>
        <v>17215.761971827582</v>
      </c>
      <c r="W278" s="590">
        <f t="shared" si="65"/>
        <v>35521216.894113317</v>
      </c>
      <c r="X278" s="589" t="b">
        <f t="shared" si="66"/>
        <v>1</v>
      </c>
    </row>
    <row r="279" spans="9:24" hidden="1">
      <c r="I279" s="589">
        <v>277</v>
      </c>
      <c r="J279" s="654">
        <f t="shared" si="56"/>
        <v>62117.38548147284</v>
      </c>
      <c r="K279" s="655">
        <f t="shared" si="57"/>
        <v>-55437.109153178644</v>
      </c>
      <c r="L279" s="654">
        <f t="shared" si="60"/>
        <v>117554.49463465149</v>
      </c>
      <c r="M279" s="656">
        <f t="shared" si="61"/>
        <v>-8433120.8676114473</v>
      </c>
      <c r="N279" s="657">
        <f t="shared" si="67"/>
        <v>2273394.9107565233</v>
      </c>
      <c r="O279" s="589">
        <f t="shared" si="62"/>
        <v>301</v>
      </c>
      <c r="P279" s="654">
        <f t="shared" si="58"/>
        <v>44901.623509645258</v>
      </c>
      <c r="Q279" s="664">
        <f t="shared" si="59"/>
        <v>14763.184838145487</v>
      </c>
      <c r="R279" s="654">
        <f t="shared" si="63"/>
        <v>30138.438671499771</v>
      </c>
      <c r="S279" s="656">
        <f t="shared" si="64"/>
        <v>2184339.2870503231</v>
      </c>
      <c r="T279" s="657">
        <f t="shared" si="68"/>
        <v>8609219.3880752437</v>
      </c>
      <c r="V279" s="665">
        <f t="shared" si="69"/>
        <v>17215.761971827582</v>
      </c>
      <c r="W279" s="590">
        <f t="shared" si="65"/>
        <v>35954762.44211299</v>
      </c>
      <c r="X279" s="589" t="b">
        <f t="shared" si="66"/>
        <v>1</v>
      </c>
    </row>
    <row r="280" spans="9:24" hidden="1">
      <c r="I280" s="589">
        <v>278</v>
      </c>
      <c r="J280" s="654">
        <f t="shared" si="56"/>
        <v>62117.38548147284</v>
      </c>
      <c r="K280" s="655">
        <f t="shared" si="57"/>
        <v>-56220.805784076321</v>
      </c>
      <c r="L280" s="654">
        <f t="shared" si="60"/>
        <v>118338.19126554916</v>
      </c>
      <c r="M280" s="656">
        <f t="shared" si="61"/>
        <v>-8551459.0588769969</v>
      </c>
      <c r="N280" s="657">
        <f t="shared" si="67"/>
        <v>2217174.1049724468</v>
      </c>
      <c r="O280" s="589">
        <f t="shared" si="62"/>
        <v>302</v>
      </c>
      <c r="P280" s="654">
        <f t="shared" si="58"/>
        <v>44901.623509645258</v>
      </c>
      <c r="Q280" s="664">
        <f t="shared" si="59"/>
        <v>14562.261913668821</v>
      </c>
      <c r="R280" s="654">
        <f t="shared" si="63"/>
        <v>30339.361595976436</v>
      </c>
      <c r="S280" s="656">
        <f t="shared" si="64"/>
        <v>2153999.9254543465</v>
      </c>
      <c r="T280" s="657">
        <f t="shared" si="68"/>
        <v>8623781.649988912</v>
      </c>
      <c r="V280" s="665">
        <f t="shared" si="69"/>
        <v>17215.761971827582</v>
      </c>
      <c r="W280" s="590">
        <f t="shared" si="65"/>
        <v>36393386.940188445</v>
      </c>
      <c r="X280" s="589" t="b">
        <f t="shared" si="66"/>
        <v>1</v>
      </c>
    </row>
    <row r="281" spans="9:24" hidden="1">
      <c r="I281" s="589">
        <v>279</v>
      </c>
      <c r="J281" s="654">
        <f t="shared" si="56"/>
        <v>62117.38548147284</v>
      </c>
      <c r="K281" s="655">
        <f t="shared" si="57"/>
        <v>-57009.727059179982</v>
      </c>
      <c r="L281" s="654">
        <f t="shared" si="60"/>
        <v>119127.11254065283</v>
      </c>
      <c r="M281" s="656">
        <f t="shared" si="61"/>
        <v>-8670586.1714176498</v>
      </c>
      <c r="N281" s="657">
        <f t="shared" si="67"/>
        <v>2160164.3779132669</v>
      </c>
      <c r="O281" s="589">
        <f t="shared" si="62"/>
        <v>303</v>
      </c>
      <c r="P281" s="654">
        <f t="shared" si="58"/>
        <v>44901.623509645258</v>
      </c>
      <c r="Q281" s="664">
        <f t="shared" si="59"/>
        <v>14359.999503028977</v>
      </c>
      <c r="R281" s="654">
        <f t="shared" si="63"/>
        <v>30541.624006616279</v>
      </c>
      <c r="S281" s="656">
        <f t="shared" si="64"/>
        <v>2123458.30144773</v>
      </c>
      <c r="T281" s="657">
        <f t="shared" si="68"/>
        <v>8638141.6494919416</v>
      </c>
      <c r="V281" s="665">
        <f t="shared" si="69"/>
        <v>17215.761971827582</v>
      </c>
      <c r="W281" s="590">
        <f t="shared" si="65"/>
        <v>36837149.887817867</v>
      </c>
      <c r="X281" s="589" t="b">
        <f t="shared" si="66"/>
        <v>1</v>
      </c>
    </row>
    <row r="282" spans="9:24" hidden="1">
      <c r="I282" s="589">
        <v>280</v>
      </c>
      <c r="J282" s="654">
        <f t="shared" si="56"/>
        <v>62117.38548147284</v>
      </c>
      <c r="K282" s="655">
        <f t="shared" si="57"/>
        <v>-57803.907809451004</v>
      </c>
      <c r="L282" s="654">
        <f t="shared" si="60"/>
        <v>119921.29329092384</v>
      </c>
      <c r="M282" s="656">
        <f t="shared" si="61"/>
        <v>-8790507.4647085741</v>
      </c>
      <c r="N282" s="657">
        <f t="shared" si="67"/>
        <v>2102360.4701038157</v>
      </c>
      <c r="O282" s="589">
        <f t="shared" si="62"/>
        <v>304</v>
      </c>
      <c r="P282" s="654">
        <f t="shared" si="58"/>
        <v>44901.623509645258</v>
      </c>
      <c r="Q282" s="664">
        <f t="shared" si="59"/>
        <v>14156.388676318202</v>
      </c>
      <c r="R282" s="654">
        <f t="shared" si="63"/>
        <v>30745.234833327057</v>
      </c>
      <c r="S282" s="656">
        <f t="shared" si="64"/>
        <v>2092713.0666144029</v>
      </c>
      <c r="T282" s="657">
        <f t="shared" si="68"/>
        <v>8652298.038168259</v>
      </c>
      <c r="V282" s="665">
        <f t="shared" si="69"/>
        <v>17215.761971827582</v>
      </c>
      <c r="W282" s="590">
        <f t="shared" si="65"/>
        <v>37286111.481510878</v>
      </c>
      <c r="X282" s="589" t="b">
        <f t="shared" si="66"/>
        <v>1</v>
      </c>
    </row>
    <row r="283" spans="9:24" hidden="1">
      <c r="I283" s="589">
        <v>281</v>
      </c>
      <c r="J283" s="654">
        <f t="shared" si="56"/>
        <v>62117.38548147284</v>
      </c>
      <c r="K283" s="655">
        <f t="shared" si="57"/>
        <v>-58603.383098057166</v>
      </c>
      <c r="L283" s="654">
        <f t="shared" si="60"/>
        <v>120720.76857953001</v>
      </c>
      <c r="M283" s="656">
        <f t="shared" si="61"/>
        <v>-8911228.2332881037</v>
      </c>
      <c r="N283" s="657">
        <f t="shared" si="67"/>
        <v>2043757.0870057584</v>
      </c>
      <c r="O283" s="589">
        <f t="shared" si="62"/>
        <v>305</v>
      </c>
      <c r="P283" s="654">
        <f t="shared" si="58"/>
        <v>44901.623509645258</v>
      </c>
      <c r="Q283" s="664">
        <f t="shared" si="59"/>
        <v>13951.42044409602</v>
      </c>
      <c r="R283" s="654">
        <f t="shared" si="63"/>
        <v>30950.203065549238</v>
      </c>
      <c r="S283" s="656">
        <f t="shared" si="64"/>
        <v>2061762.8635488537</v>
      </c>
      <c r="T283" s="657">
        <f t="shared" si="68"/>
        <v>8666249.4586123545</v>
      </c>
      <c r="V283" s="665">
        <f t="shared" si="69"/>
        <v>17215.761971827582</v>
      </c>
      <c r="W283" s="590">
        <f t="shared" si="65"/>
        <v>37740332.622974209</v>
      </c>
      <c r="X283" s="589" t="b">
        <f t="shared" si="66"/>
        <v>1</v>
      </c>
    </row>
    <row r="284" spans="9:24" hidden="1">
      <c r="I284" s="589">
        <v>282</v>
      </c>
      <c r="J284" s="654">
        <f t="shared" si="56"/>
        <v>62117.38548147284</v>
      </c>
      <c r="K284" s="655">
        <f t="shared" si="57"/>
        <v>-59408.188221920696</v>
      </c>
      <c r="L284" s="654">
        <f t="shared" si="60"/>
        <v>121525.57370339354</v>
      </c>
      <c r="M284" s="656">
        <f t="shared" si="61"/>
        <v>-9032753.8069914971</v>
      </c>
      <c r="N284" s="657">
        <f t="shared" si="67"/>
        <v>1984348.8987838377</v>
      </c>
      <c r="O284" s="589">
        <f t="shared" si="62"/>
        <v>306</v>
      </c>
      <c r="P284" s="654">
        <f t="shared" si="58"/>
        <v>44901.623509645258</v>
      </c>
      <c r="Q284" s="664">
        <f t="shared" si="59"/>
        <v>13745.085756992359</v>
      </c>
      <c r="R284" s="654">
        <f t="shared" si="63"/>
        <v>31156.537752652897</v>
      </c>
      <c r="S284" s="656">
        <f t="shared" si="64"/>
        <v>2030606.3257962007</v>
      </c>
      <c r="T284" s="657">
        <f t="shared" si="68"/>
        <v>8679994.5443693474</v>
      </c>
      <c r="V284" s="665">
        <f t="shared" si="69"/>
        <v>17215.761971827582</v>
      </c>
      <c r="W284" s="590">
        <f t="shared" si="65"/>
        <v>38199874.927373022</v>
      </c>
      <c r="X284" s="589" t="b">
        <f t="shared" si="66"/>
        <v>1</v>
      </c>
    </row>
    <row r="285" spans="9:24" hidden="1">
      <c r="I285" s="589">
        <v>283</v>
      </c>
      <c r="J285" s="654">
        <f t="shared" si="56"/>
        <v>62117.38548147284</v>
      </c>
      <c r="K285" s="655">
        <f t="shared" si="57"/>
        <v>-60218.358713276648</v>
      </c>
      <c r="L285" s="654">
        <f t="shared" si="60"/>
        <v>122335.74419474948</v>
      </c>
      <c r="M285" s="656">
        <f t="shared" si="61"/>
        <v>-9155089.5511862468</v>
      </c>
      <c r="N285" s="657">
        <f t="shared" si="67"/>
        <v>1924130.540070561</v>
      </c>
      <c r="O285" s="589">
        <f t="shared" si="62"/>
        <v>307</v>
      </c>
      <c r="P285" s="654">
        <f t="shared" si="58"/>
        <v>44901.623509645258</v>
      </c>
      <c r="Q285" s="664">
        <f t="shared" si="59"/>
        <v>13537.375505308006</v>
      </c>
      <c r="R285" s="654">
        <f t="shared" si="63"/>
        <v>31364.248004337252</v>
      </c>
      <c r="S285" s="656">
        <f t="shared" si="64"/>
        <v>1999242.0777918634</v>
      </c>
      <c r="T285" s="657">
        <f t="shared" si="68"/>
        <v>8693531.9198746551</v>
      </c>
      <c r="V285" s="665">
        <f t="shared" si="69"/>
        <v>17215.761971827582</v>
      </c>
      <c r="W285" s="590">
        <f t="shared" si="65"/>
        <v>38664800.731689028</v>
      </c>
      <c r="X285" s="589" t="b">
        <f t="shared" si="66"/>
        <v>1</v>
      </c>
    </row>
    <row r="286" spans="9:24" hidden="1">
      <c r="I286" s="589">
        <v>284</v>
      </c>
      <c r="J286" s="654">
        <f t="shared" si="56"/>
        <v>62117.38548147284</v>
      </c>
      <c r="K286" s="655">
        <f t="shared" si="57"/>
        <v>-61033.930341241648</v>
      </c>
      <c r="L286" s="654">
        <f t="shared" si="60"/>
        <v>123151.31582271449</v>
      </c>
      <c r="M286" s="656">
        <f t="shared" si="61"/>
        <v>-9278240.8670089617</v>
      </c>
      <c r="N286" s="657">
        <f t="shared" si="67"/>
        <v>1863096.6097293193</v>
      </c>
      <c r="O286" s="589">
        <f t="shared" si="62"/>
        <v>308</v>
      </c>
      <c r="P286" s="654">
        <f t="shared" si="58"/>
        <v>44901.623509645258</v>
      </c>
      <c r="Q286" s="664">
        <f t="shared" si="59"/>
        <v>13328.280518612422</v>
      </c>
      <c r="R286" s="654">
        <f t="shared" si="63"/>
        <v>31573.342991032834</v>
      </c>
      <c r="S286" s="656">
        <f t="shared" si="64"/>
        <v>1967668.7348008305</v>
      </c>
      <c r="T286" s="657">
        <f t="shared" si="68"/>
        <v>8706860.200393267</v>
      </c>
      <c r="V286" s="665">
        <f t="shared" si="69"/>
        <v>17215.761971827582</v>
      </c>
      <c r="W286" s="590">
        <f t="shared" si="65"/>
        <v>39135173.103176489</v>
      </c>
      <c r="X286" s="589" t="b">
        <f t="shared" si="66"/>
        <v>1</v>
      </c>
    </row>
    <row r="287" spans="9:24" hidden="1">
      <c r="I287" s="589">
        <v>285</v>
      </c>
      <c r="J287" s="654">
        <f t="shared" si="56"/>
        <v>62117.38548147284</v>
      </c>
      <c r="K287" s="655">
        <f t="shared" si="57"/>
        <v>-61854.939113393084</v>
      </c>
      <c r="L287" s="654">
        <f t="shared" si="60"/>
        <v>123972.32459486593</v>
      </c>
      <c r="M287" s="656">
        <f t="shared" si="61"/>
        <v>-9402213.1916038282</v>
      </c>
      <c r="N287" s="657">
        <f t="shared" si="67"/>
        <v>1801241.6706159262</v>
      </c>
      <c r="O287" s="589">
        <f t="shared" si="62"/>
        <v>309</v>
      </c>
      <c r="P287" s="654">
        <f t="shared" si="58"/>
        <v>44901.623509645258</v>
      </c>
      <c r="Q287" s="664">
        <f t="shared" si="59"/>
        <v>13117.79156533887</v>
      </c>
      <c r="R287" s="654">
        <f t="shared" si="63"/>
        <v>31783.831944306388</v>
      </c>
      <c r="S287" s="656">
        <f t="shared" si="64"/>
        <v>1935884.9028565241</v>
      </c>
      <c r="T287" s="657">
        <f t="shared" si="68"/>
        <v>8719977.9919586051</v>
      </c>
      <c r="V287" s="665">
        <f t="shared" si="69"/>
        <v>17215.761971827582</v>
      </c>
      <c r="W287" s="590">
        <f t="shared" si="65"/>
        <v>39611055.847917326</v>
      </c>
      <c r="X287" s="589" t="b">
        <f t="shared" si="66"/>
        <v>1</v>
      </c>
    </row>
    <row r="288" spans="9:24" hidden="1">
      <c r="I288" s="589">
        <v>286</v>
      </c>
      <c r="J288" s="654">
        <f t="shared" si="56"/>
        <v>62117.38548147284</v>
      </c>
      <c r="K288" s="655">
        <f t="shared" si="57"/>
        <v>-62681.421277358859</v>
      </c>
      <c r="L288" s="654">
        <f t="shared" si="60"/>
        <v>124798.80675883169</v>
      </c>
      <c r="M288" s="656">
        <f t="shared" si="61"/>
        <v>-9527011.9983626604</v>
      </c>
      <c r="N288" s="657">
        <f t="shared" si="67"/>
        <v>1738560.2493385673</v>
      </c>
      <c r="O288" s="589">
        <f t="shared" si="62"/>
        <v>310</v>
      </c>
      <c r="P288" s="654">
        <f t="shared" si="58"/>
        <v>44901.623509645258</v>
      </c>
      <c r="Q288" s="664">
        <f t="shared" si="59"/>
        <v>12905.899352376828</v>
      </c>
      <c r="R288" s="654">
        <f t="shared" si="63"/>
        <v>31995.724157268429</v>
      </c>
      <c r="S288" s="656">
        <f t="shared" si="64"/>
        <v>1903889.1786992557</v>
      </c>
      <c r="T288" s="657">
        <f t="shared" si="68"/>
        <v>8732883.8913109824</v>
      </c>
      <c r="V288" s="665">
        <f t="shared" si="69"/>
        <v>17215.761971827582</v>
      </c>
      <c r="W288" s="590">
        <f t="shared" si="65"/>
        <v>40092513.519476391</v>
      </c>
      <c r="X288" s="589" t="b">
        <f t="shared" si="66"/>
        <v>1</v>
      </c>
    </row>
    <row r="289" spans="9:24" hidden="1">
      <c r="I289" s="589">
        <v>287</v>
      </c>
      <c r="J289" s="654">
        <f t="shared" si="56"/>
        <v>62117.38548147284</v>
      </c>
      <c r="K289" s="655">
        <f t="shared" si="57"/>
        <v>-63513.413322417742</v>
      </c>
      <c r="L289" s="654">
        <f t="shared" si="60"/>
        <v>125630.79880389059</v>
      </c>
      <c r="M289" s="656">
        <f t="shared" si="61"/>
        <v>-9652642.7971665505</v>
      </c>
      <c r="N289" s="657">
        <f t="shared" si="67"/>
        <v>1675046.8360161495</v>
      </c>
      <c r="O289" s="589">
        <f t="shared" si="62"/>
        <v>311</v>
      </c>
      <c r="P289" s="654">
        <f t="shared" si="58"/>
        <v>44901.623509645258</v>
      </c>
      <c r="Q289" s="664">
        <f t="shared" si="59"/>
        <v>12692.594524661705</v>
      </c>
      <c r="R289" s="654">
        <f t="shared" si="63"/>
        <v>32209.028984983554</v>
      </c>
      <c r="S289" s="656">
        <f t="shared" si="64"/>
        <v>1871680.1497142722</v>
      </c>
      <c r="T289" s="657">
        <f t="shared" si="68"/>
        <v>8745576.4858356435</v>
      </c>
      <c r="V289" s="665">
        <f t="shared" si="69"/>
        <v>17215.761971827582</v>
      </c>
      <c r="W289" s="590">
        <f t="shared" si="65"/>
        <v>40579611.427658193</v>
      </c>
      <c r="X289" s="589" t="b">
        <f t="shared" si="66"/>
        <v>1</v>
      </c>
    </row>
    <row r="290" spans="9:24" hidden="1">
      <c r="I290" s="589">
        <v>288</v>
      </c>
      <c r="J290" s="654">
        <f t="shared" si="56"/>
        <v>62117.38548147284</v>
      </c>
      <c r="K290" s="655">
        <f t="shared" si="57"/>
        <v>-64350.951981110338</v>
      </c>
      <c r="L290" s="654">
        <f t="shared" si="60"/>
        <v>126468.33746258318</v>
      </c>
      <c r="M290" s="656">
        <f t="shared" si="61"/>
        <v>-9779111.1346291341</v>
      </c>
      <c r="N290" s="657">
        <f t="shared" si="67"/>
        <v>1610695.8840350392</v>
      </c>
      <c r="O290" s="589">
        <f t="shared" si="62"/>
        <v>312</v>
      </c>
      <c r="P290" s="654">
        <f t="shared" si="58"/>
        <v>44901.623509645258</v>
      </c>
      <c r="Q290" s="664">
        <f t="shared" si="59"/>
        <v>12477.867664761816</v>
      </c>
      <c r="R290" s="654">
        <f t="shared" si="63"/>
        <v>32423.755844883442</v>
      </c>
      <c r="S290" s="656">
        <f t="shared" si="64"/>
        <v>1839256.3938693888</v>
      </c>
      <c r="T290" s="657">
        <f t="shared" si="68"/>
        <v>8758054.3535004053</v>
      </c>
      <c r="V290" s="665">
        <f t="shared" si="69"/>
        <v>17215.761971827582</v>
      </c>
      <c r="W290" s="590">
        <f t="shared" si="65"/>
        <v>41072415.647366181</v>
      </c>
      <c r="X290" s="589" t="b">
        <f t="shared" si="66"/>
        <v>1</v>
      </c>
    </row>
    <row r="291" spans="9:24" hidden="1">
      <c r="I291" s="589">
        <v>289</v>
      </c>
      <c r="J291" s="654">
        <f t="shared" si="56"/>
        <v>62117.38548147284</v>
      </c>
      <c r="K291" s="655">
        <f t="shared" si="57"/>
        <v>-65194.074230860897</v>
      </c>
      <c r="L291" s="654">
        <f t="shared" si="60"/>
        <v>127311.45971233374</v>
      </c>
      <c r="M291" s="656">
        <f t="shared" si="61"/>
        <v>-9906422.5943414681</v>
      </c>
      <c r="N291" s="657">
        <f t="shared" si="67"/>
        <v>1545501.8098041783</v>
      </c>
      <c r="O291" s="589">
        <f t="shared" si="62"/>
        <v>313</v>
      </c>
      <c r="P291" s="654">
        <f t="shared" si="58"/>
        <v>44901.623509645258</v>
      </c>
      <c r="Q291" s="664">
        <f t="shared" si="59"/>
        <v>12261.709292462592</v>
      </c>
      <c r="R291" s="654">
        <f t="shared" si="63"/>
        <v>32639.914217182668</v>
      </c>
      <c r="S291" s="656">
        <f t="shared" si="64"/>
        <v>1806616.4796522062</v>
      </c>
      <c r="T291" s="657">
        <f t="shared" si="68"/>
        <v>8770316.0627928674</v>
      </c>
      <c r="V291" s="665">
        <f t="shared" si="69"/>
        <v>17215.761971827582</v>
      </c>
      <c r="W291" s="590">
        <f t="shared" si="65"/>
        <v>41570993.0275658</v>
      </c>
      <c r="X291" s="589" t="b">
        <f t="shared" si="66"/>
        <v>1</v>
      </c>
    </row>
    <row r="292" spans="9:24" hidden="1">
      <c r="I292" s="589">
        <v>290</v>
      </c>
      <c r="J292" s="654">
        <f t="shared" si="56"/>
        <v>62117.38548147284</v>
      </c>
      <c r="K292" s="655">
        <f t="shared" si="57"/>
        <v>-66042.817295609784</v>
      </c>
      <c r="L292" s="654">
        <f t="shared" si="60"/>
        <v>128160.20277708262</v>
      </c>
      <c r="M292" s="656">
        <f t="shared" si="61"/>
        <v>-10034582.79711855</v>
      </c>
      <c r="N292" s="657">
        <f t="shared" si="67"/>
        <v>1479458.9925085686</v>
      </c>
      <c r="O292" s="589">
        <f t="shared" si="62"/>
        <v>314</v>
      </c>
      <c r="P292" s="654">
        <f t="shared" si="58"/>
        <v>44901.623509645258</v>
      </c>
      <c r="Q292" s="664">
        <f t="shared" si="59"/>
        <v>12044.109864348042</v>
      </c>
      <c r="R292" s="654">
        <f t="shared" si="63"/>
        <v>32857.513645297215</v>
      </c>
      <c r="S292" s="656">
        <f t="shared" si="64"/>
        <v>1773758.966006909</v>
      </c>
      <c r="T292" s="657">
        <f t="shared" si="68"/>
        <v>8782360.172657216</v>
      </c>
      <c r="V292" s="665">
        <f t="shared" si="69"/>
        <v>17215.761971827582</v>
      </c>
      <c r="W292" s="590">
        <f t="shared" si="65"/>
        <v>42075411.200352579</v>
      </c>
      <c r="X292" s="589" t="b">
        <f t="shared" si="66"/>
        <v>1</v>
      </c>
    </row>
    <row r="293" spans="9:24" hidden="1">
      <c r="I293" s="589">
        <v>291</v>
      </c>
      <c r="J293" s="654">
        <f t="shared" si="56"/>
        <v>62117.38548147284</v>
      </c>
      <c r="K293" s="655">
        <f t="shared" si="57"/>
        <v>-66897.218647457004</v>
      </c>
      <c r="L293" s="654">
        <f t="shared" si="60"/>
        <v>129014.60412892984</v>
      </c>
      <c r="M293" s="656">
        <f t="shared" si="61"/>
        <v>-10163597.401247481</v>
      </c>
      <c r="N293" s="657">
        <f t="shared" si="67"/>
        <v>1412561.7738611116</v>
      </c>
      <c r="O293" s="589">
        <f t="shared" si="62"/>
        <v>315</v>
      </c>
      <c r="P293" s="654">
        <f t="shared" si="58"/>
        <v>44901.623509645258</v>
      </c>
      <c r="Q293" s="664">
        <f t="shared" si="59"/>
        <v>11825.059773379395</v>
      </c>
      <c r="R293" s="654">
        <f t="shared" si="63"/>
        <v>33076.56373626586</v>
      </c>
      <c r="S293" s="656">
        <f t="shared" si="64"/>
        <v>1740682.4022706433</v>
      </c>
      <c r="T293" s="657">
        <f t="shared" si="68"/>
        <v>8794185.2324305959</v>
      </c>
      <c r="V293" s="665">
        <f t="shared" si="69"/>
        <v>17215.761971827582</v>
      </c>
      <c r="W293" s="590">
        <f t="shared" si="65"/>
        <v>42585738.590126418</v>
      </c>
      <c r="X293" s="589" t="b">
        <f t="shared" si="66"/>
        <v>1</v>
      </c>
    </row>
    <row r="294" spans="9:24" hidden="1">
      <c r="I294" s="589">
        <v>292</v>
      </c>
      <c r="J294" s="654">
        <f t="shared" si="56"/>
        <v>62117.38548147284</v>
      </c>
      <c r="K294" s="655">
        <f t="shared" si="57"/>
        <v>-67757.316008316542</v>
      </c>
      <c r="L294" s="654">
        <f t="shared" si="60"/>
        <v>129874.70148978938</v>
      </c>
      <c r="M294" s="656">
        <f t="shared" si="61"/>
        <v>-10293472.10273727</v>
      </c>
      <c r="N294" s="657">
        <f t="shared" si="67"/>
        <v>1344804.457852795</v>
      </c>
      <c r="O294" s="589">
        <f t="shared" si="62"/>
        <v>316</v>
      </c>
      <c r="P294" s="654">
        <f t="shared" si="58"/>
        <v>44901.623509645258</v>
      </c>
      <c r="Q294" s="664">
        <f t="shared" si="59"/>
        <v>11604.549348470955</v>
      </c>
      <c r="R294" s="654">
        <f t="shared" si="63"/>
        <v>33297.0741611743</v>
      </c>
      <c r="S294" s="656">
        <f t="shared" si="64"/>
        <v>1707385.328109469</v>
      </c>
      <c r="T294" s="657">
        <f t="shared" si="68"/>
        <v>8805789.7817790676</v>
      </c>
      <c r="V294" s="665">
        <f t="shared" si="69"/>
        <v>17215.761971827582</v>
      </c>
      <c r="W294" s="590">
        <f t="shared" si="65"/>
        <v>43102044.422873385</v>
      </c>
      <c r="X294" s="589" t="b">
        <f t="shared" si="66"/>
        <v>1</v>
      </c>
    </row>
    <row r="295" spans="9:24" hidden="1">
      <c r="I295" s="589">
        <v>293</v>
      </c>
      <c r="J295" s="654">
        <f t="shared" si="56"/>
        <v>62117.38548147284</v>
      </c>
      <c r="K295" s="655">
        <f t="shared" si="57"/>
        <v>-68623.147351581807</v>
      </c>
      <c r="L295" s="654">
        <f t="shared" si="60"/>
        <v>130740.53283305465</v>
      </c>
      <c r="M295" s="656">
        <f t="shared" si="61"/>
        <v>-10424212.635570325</v>
      </c>
      <c r="N295" s="657">
        <f t="shared" si="67"/>
        <v>1276181.3105012132</v>
      </c>
      <c r="O295" s="589">
        <f t="shared" si="62"/>
        <v>317</v>
      </c>
      <c r="P295" s="654">
        <f t="shared" si="58"/>
        <v>44901.623509645258</v>
      </c>
      <c r="Q295" s="664">
        <f t="shared" si="59"/>
        <v>11382.568854063127</v>
      </c>
      <c r="R295" s="654">
        <f t="shared" si="63"/>
        <v>33519.054655582135</v>
      </c>
      <c r="S295" s="656">
        <f t="shared" si="64"/>
        <v>1673866.2734538869</v>
      </c>
      <c r="T295" s="657">
        <f t="shared" si="68"/>
        <v>8817172.3506331313</v>
      </c>
      <c r="V295" s="665">
        <f t="shared" si="69"/>
        <v>17215.761971827582</v>
      </c>
      <c r="W295" s="590">
        <f t="shared" si="65"/>
        <v>43624398.735556215</v>
      </c>
      <c r="X295" s="589" t="b">
        <f t="shared" si="66"/>
        <v>1</v>
      </c>
    </row>
    <row r="296" spans="9:24" hidden="1">
      <c r="I296" s="589">
        <v>294</v>
      </c>
      <c r="J296" s="654">
        <f t="shared" si="56"/>
        <v>62117.38548147284</v>
      </c>
      <c r="K296" s="655">
        <f t="shared" si="57"/>
        <v>-69494.750903802167</v>
      </c>
      <c r="L296" s="654">
        <f t="shared" si="60"/>
        <v>131612.13638527499</v>
      </c>
      <c r="M296" s="656">
        <f t="shared" si="61"/>
        <v>-10555824.7719556</v>
      </c>
      <c r="N296" s="657">
        <f t="shared" si="67"/>
        <v>1206686.559597411</v>
      </c>
      <c r="O296" s="589">
        <f t="shared" si="62"/>
        <v>318</v>
      </c>
      <c r="P296" s="654">
        <f t="shared" si="58"/>
        <v>44901.623509645258</v>
      </c>
      <c r="Q296" s="664">
        <f t="shared" si="59"/>
        <v>11159.10848969258</v>
      </c>
      <c r="R296" s="654">
        <f t="shared" si="63"/>
        <v>33742.515019952676</v>
      </c>
      <c r="S296" s="656">
        <f t="shared" si="64"/>
        <v>1640123.7584339341</v>
      </c>
      <c r="T296" s="657">
        <f t="shared" si="68"/>
        <v>8828331.4591228236</v>
      </c>
      <c r="V296" s="665">
        <f t="shared" si="69"/>
        <v>17215.761971827582</v>
      </c>
      <c r="W296" s="590">
        <f t="shared" si="65"/>
        <v>44152872.385614857</v>
      </c>
      <c r="X296" s="589" t="b">
        <f t="shared" si="66"/>
        <v>1</v>
      </c>
    </row>
    <row r="297" spans="9:24" hidden="1">
      <c r="I297" s="589">
        <v>295</v>
      </c>
      <c r="J297" s="654">
        <f t="shared" si="56"/>
        <v>62117.38548147284</v>
      </c>
      <c r="K297" s="655">
        <f t="shared" si="57"/>
        <v>-70372.165146370666</v>
      </c>
      <c r="L297" s="654">
        <f t="shared" si="60"/>
        <v>132489.55062784351</v>
      </c>
      <c r="M297" s="656">
        <f t="shared" si="61"/>
        <v>-10688314.322583444</v>
      </c>
      <c r="N297" s="657">
        <f t="shared" si="67"/>
        <v>1136314.3944510403</v>
      </c>
      <c r="O297" s="589">
        <f t="shared" si="62"/>
        <v>319</v>
      </c>
      <c r="P297" s="654">
        <f t="shared" si="58"/>
        <v>44901.623509645258</v>
      </c>
      <c r="Q297" s="664">
        <f t="shared" si="59"/>
        <v>10934.158389559561</v>
      </c>
      <c r="R297" s="654">
        <f t="shared" si="63"/>
        <v>33967.465120085697</v>
      </c>
      <c r="S297" s="656">
        <f t="shared" si="64"/>
        <v>1606156.2933138483</v>
      </c>
      <c r="T297" s="657">
        <f t="shared" si="68"/>
        <v>8839265.6175123826</v>
      </c>
      <c r="V297" s="665">
        <f t="shared" si="69"/>
        <v>17215.761971827582</v>
      </c>
      <c r="W297" s="590">
        <f t="shared" si="65"/>
        <v>44687537.060578264</v>
      </c>
      <c r="X297" s="589" t="b">
        <f t="shared" si="66"/>
        <v>1</v>
      </c>
    </row>
    <row r="298" spans="9:24" hidden="1">
      <c r="I298" s="589">
        <v>296</v>
      </c>
      <c r="J298" s="654">
        <f t="shared" si="56"/>
        <v>62117.38548147284</v>
      </c>
      <c r="K298" s="655">
        <f t="shared" si="57"/>
        <v>-71255.428817222972</v>
      </c>
      <c r="L298" s="654">
        <f t="shared" si="60"/>
        <v>133372.81429869583</v>
      </c>
      <c r="M298" s="656">
        <f t="shared" si="61"/>
        <v>-10821687.136882139</v>
      </c>
      <c r="N298" s="657">
        <f t="shared" si="67"/>
        <v>1065058.9656338172</v>
      </c>
      <c r="O298" s="589">
        <f t="shared" si="62"/>
        <v>320</v>
      </c>
      <c r="P298" s="654">
        <f t="shared" si="58"/>
        <v>44901.623509645258</v>
      </c>
      <c r="Q298" s="664">
        <f t="shared" si="59"/>
        <v>10707.708622092323</v>
      </c>
      <c r="R298" s="654">
        <f t="shared" si="63"/>
        <v>34193.914887552935</v>
      </c>
      <c r="S298" s="656">
        <f t="shared" si="64"/>
        <v>1571962.3784262955</v>
      </c>
      <c r="T298" s="657">
        <f t="shared" si="68"/>
        <v>8849973.3261344749</v>
      </c>
      <c r="V298" s="665">
        <f t="shared" si="69"/>
        <v>17215.761971827582</v>
      </c>
      <c r="W298" s="590">
        <f t="shared" si="65"/>
        <v>45228465.287788846</v>
      </c>
      <c r="X298" s="589" t="b">
        <f t="shared" si="66"/>
        <v>1</v>
      </c>
    </row>
    <row r="299" spans="9:24" hidden="1">
      <c r="I299" s="589">
        <v>297</v>
      </c>
      <c r="J299" s="654">
        <f t="shared" si="56"/>
        <v>62117.38548147284</v>
      </c>
      <c r="K299" s="655">
        <f t="shared" si="57"/>
        <v>-72144.580912547593</v>
      </c>
      <c r="L299" s="654">
        <f t="shared" si="60"/>
        <v>134261.96639402042</v>
      </c>
      <c r="M299" s="656">
        <f t="shared" si="61"/>
        <v>-10955949.10327616</v>
      </c>
      <c r="N299" s="657">
        <f t="shared" si="67"/>
        <v>992914.3847212696</v>
      </c>
      <c r="O299" s="589">
        <f t="shared" si="62"/>
        <v>321</v>
      </c>
      <c r="P299" s="654">
        <f t="shared" si="58"/>
        <v>44901.623509645258</v>
      </c>
      <c r="Q299" s="664">
        <f t="shared" si="59"/>
        <v>10479.749189508637</v>
      </c>
      <c r="R299" s="654">
        <f t="shared" si="63"/>
        <v>34421.874320136623</v>
      </c>
      <c r="S299" s="656">
        <f t="shared" si="64"/>
        <v>1537540.5041061589</v>
      </c>
      <c r="T299" s="657">
        <f t="shared" si="68"/>
        <v>8860453.075323984</v>
      </c>
      <c r="V299" s="665">
        <f t="shared" si="69"/>
        <v>17215.761971827582</v>
      </c>
      <c r="W299" s="590">
        <f t="shared" si="65"/>
        <v>45775730.444240808</v>
      </c>
      <c r="X299" s="589" t="b">
        <f t="shared" si="66"/>
        <v>1</v>
      </c>
    </row>
    <row r="300" spans="9:24" hidden="1">
      <c r="I300" s="589">
        <v>298</v>
      </c>
      <c r="J300" s="654">
        <f t="shared" si="56"/>
        <v>62117.38548147284</v>
      </c>
      <c r="K300" s="655">
        <f t="shared" si="57"/>
        <v>-73039.660688507734</v>
      </c>
      <c r="L300" s="654">
        <f t="shared" si="60"/>
        <v>135157.04616998057</v>
      </c>
      <c r="M300" s="656">
        <f t="shared" si="61"/>
        <v>-11091106.149446141</v>
      </c>
      <c r="N300" s="657">
        <f t="shared" si="67"/>
        <v>919874.72403276188</v>
      </c>
      <c r="O300" s="589">
        <f t="shared" si="62"/>
        <v>322</v>
      </c>
      <c r="P300" s="654">
        <f t="shared" si="58"/>
        <v>44901.623509645258</v>
      </c>
      <c r="Q300" s="664">
        <f t="shared" si="59"/>
        <v>10250.270027374392</v>
      </c>
      <c r="R300" s="654">
        <f t="shared" si="63"/>
        <v>34651.353482270868</v>
      </c>
      <c r="S300" s="656">
        <f t="shared" si="64"/>
        <v>1502889.150623888</v>
      </c>
      <c r="T300" s="657">
        <f t="shared" si="68"/>
        <v>8870703.3453513589</v>
      </c>
      <c r="V300" s="665">
        <f t="shared" si="69"/>
        <v>17215.761971827582</v>
      </c>
      <c r="W300" s="590">
        <f t="shared" si="65"/>
        <v>46329406.766533732</v>
      </c>
      <c r="X300" s="589" t="b">
        <f t="shared" si="66"/>
        <v>1</v>
      </c>
    </row>
    <row r="301" spans="9:24" hidden="1">
      <c r="I301" s="589">
        <v>299</v>
      </c>
      <c r="J301" s="654">
        <f t="shared" si="56"/>
        <v>62117.38548147284</v>
      </c>
      <c r="K301" s="655">
        <f t="shared" si="57"/>
        <v>-73940.707662974281</v>
      </c>
      <c r="L301" s="654">
        <f t="shared" si="60"/>
        <v>136058.09314444714</v>
      </c>
      <c r="M301" s="656">
        <f t="shared" si="61"/>
        <v>-11227164.242590588</v>
      </c>
      <c r="N301" s="657">
        <f t="shared" si="67"/>
        <v>845934.01636978763</v>
      </c>
      <c r="O301" s="589">
        <f t="shared" si="62"/>
        <v>323</v>
      </c>
      <c r="P301" s="654">
        <f t="shared" si="58"/>
        <v>44901.623509645258</v>
      </c>
      <c r="Q301" s="664">
        <f t="shared" si="59"/>
        <v>10019.261004159254</v>
      </c>
      <c r="R301" s="654">
        <f t="shared" si="63"/>
        <v>34882.362505486002</v>
      </c>
      <c r="S301" s="656">
        <f t="shared" si="64"/>
        <v>1468006.788118402</v>
      </c>
      <c r="T301" s="657">
        <f t="shared" si="68"/>
        <v>8880722.6063555181</v>
      </c>
      <c r="V301" s="665">
        <f t="shared" si="69"/>
        <v>17215.761971827582</v>
      </c>
      <c r="W301" s="590">
        <f t="shared" si="65"/>
        <v>46889569.360942811</v>
      </c>
      <c r="X301" s="589" t="b">
        <f t="shared" si="66"/>
        <v>1</v>
      </c>
    </row>
    <row r="302" spans="9:24" hidden="1">
      <c r="I302" s="589">
        <v>300</v>
      </c>
      <c r="J302" s="654">
        <f t="shared" si="56"/>
        <v>62117.38548147284</v>
      </c>
      <c r="K302" s="655">
        <f t="shared" si="57"/>
        <v>-74847.761617270589</v>
      </c>
      <c r="L302" s="654">
        <f t="shared" si="60"/>
        <v>136965.14709874341</v>
      </c>
      <c r="M302" s="656">
        <f t="shared" si="61"/>
        <v>-11364129.389689332</v>
      </c>
      <c r="N302" s="657">
        <f t="shared" si="67"/>
        <v>771086.25475251698</v>
      </c>
      <c r="O302" s="589">
        <f t="shared" si="62"/>
        <v>324</v>
      </c>
      <c r="P302" s="654">
        <f t="shared" si="58"/>
        <v>44901.623509645258</v>
      </c>
      <c r="Q302" s="664">
        <f t="shared" si="59"/>
        <v>9786.7119207893466</v>
      </c>
      <c r="R302" s="654">
        <f t="shared" si="63"/>
        <v>35114.91158885591</v>
      </c>
      <c r="S302" s="656">
        <f t="shared" si="64"/>
        <v>1432891.876529546</v>
      </c>
      <c r="T302" s="657">
        <f t="shared" si="68"/>
        <v>8890509.3182763066</v>
      </c>
      <c r="V302" s="665">
        <f t="shared" si="69"/>
        <v>17215.761971827582</v>
      </c>
      <c r="W302" s="590">
        <f t="shared" si="65"/>
        <v>47456294.213606998</v>
      </c>
      <c r="X302" s="589" t="b">
        <f t="shared" si="66"/>
        <v>1</v>
      </c>
    </row>
    <row r="303" spans="9:24" hidden="1">
      <c r="I303" s="589">
        <v>301</v>
      </c>
      <c r="J303" s="654">
        <f t="shared" si="56"/>
        <v>62117.38548147284</v>
      </c>
      <c r="K303" s="655">
        <f t="shared" si="57"/>
        <v>-75760.862597928877</v>
      </c>
      <c r="L303" s="654">
        <f t="shared" si="60"/>
        <v>137878.24807940173</v>
      </c>
      <c r="M303" s="656">
        <f t="shared" si="61"/>
        <v>-11502007.637768734</v>
      </c>
      <c r="N303" s="657">
        <f t="shared" si="67"/>
        <v>695325.39215458813</v>
      </c>
      <c r="O303" s="589">
        <f t="shared" si="62"/>
        <v>325</v>
      </c>
      <c r="P303" s="654">
        <f t="shared" si="58"/>
        <v>44901.623509645258</v>
      </c>
      <c r="Q303" s="664">
        <f t="shared" si="59"/>
        <v>9552.6125101969737</v>
      </c>
      <c r="R303" s="654">
        <f t="shared" si="63"/>
        <v>35349.010999448285</v>
      </c>
      <c r="S303" s="656">
        <f t="shared" si="64"/>
        <v>1397542.8655300976</v>
      </c>
      <c r="T303" s="657">
        <f t="shared" si="68"/>
        <v>8900061.9307865035</v>
      </c>
      <c r="V303" s="665">
        <f t="shared" si="69"/>
        <v>17215.761971827582</v>
      </c>
      <c r="W303" s="590">
        <f t="shared" si="65"/>
        <v>48029658.200836562</v>
      </c>
      <c r="X303" s="589" t="b">
        <f t="shared" si="66"/>
        <v>1</v>
      </c>
    </row>
    <row r="304" spans="9:24" hidden="1">
      <c r="I304" s="589">
        <v>302</v>
      </c>
      <c r="J304" s="654">
        <f t="shared" si="56"/>
        <v>62117.38548147284</v>
      </c>
      <c r="K304" s="655">
        <f t="shared" si="57"/>
        <v>-76680.050918458233</v>
      </c>
      <c r="L304" s="654">
        <f t="shared" si="60"/>
        <v>138797.43639993109</v>
      </c>
      <c r="M304" s="656">
        <f t="shared" si="61"/>
        <v>-11640805.074168665</v>
      </c>
      <c r="N304" s="657">
        <f t="shared" si="67"/>
        <v>618645.34123612987</v>
      </c>
      <c r="O304" s="589">
        <f t="shared" si="62"/>
        <v>326</v>
      </c>
      <c r="P304" s="654">
        <f t="shared" si="58"/>
        <v>44901.623509645258</v>
      </c>
      <c r="Q304" s="664">
        <f t="shared" si="59"/>
        <v>9316.9524368673174</v>
      </c>
      <c r="R304" s="654">
        <f t="shared" si="63"/>
        <v>35584.671072777943</v>
      </c>
      <c r="S304" s="656">
        <f t="shared" si="64"/>
        <v>1361958.1944573196</v>
      </c>
      <c r="T304" s="657">
        <f t="shared" si="68"/>
        <v>8909378.8832233716</v>
      </c>
      <c r="V304" s="665">
        <f t="shared" si="69"/>
        <v>17215.761971827582</v>
      </c>
      <c r="W304" s="590">
        <f t="shared" si="65"/>
        <v>48609739.099541359</v>
      </c>
      <c r="X304" s="589" t="b">
        <f t="shared" si="66"/>
        <v>1</v>
      </c>
    </row>
    <row r="305" spans="9:24" hidden="1">
      <c r="I305" s="589">
        <v>303</v>
      </c>
      <c r="J305" s="654">
        <f t="shared" si="56"/>
        <v>62117.38548147284</v>
      </c>
      <c r="K305" s="655">
        <f t="shared" si="57"/>
        <v>-77605.367161124435</v>
      </c>
      <c r="L305" s="654">
        <f t="shared" si="60"/>
        <v>139722.75264259728</v>
      </c>
      <c r="M305" s="656">
        <f t="shared" si="61"/>
        <v>-11780527.826811263</v>
      </c>
      <c r="N305" s="657">
        <f t="shared" si="67"/>
        <v>541039.97407500539</v>
      </c>
      <c r="O305" s="589">
        <f t="shared" si="62"/>
        <v>327</v>
      </c>
      <c r="P305" s="654">
        <f t="shared" si="58"/>
        <v>44901.623509645258</v>
      </c>
      <c r="Q305" s="664">
        <f t="shared" si="59"/>
        <v>9079.7212963821312</v>
      </c>
      <c r="R305" s="654">
        <f t="shared" si="63"/>
        <v>35821.902213263129</v>
      </c>
      <c r="S305" s="656">
        <f t="shared" si="64"/>
        <v>1326136.2922440565</v>
      </c>
      <c r="T305" s="657">
        <f t="shared" si="68"/>
        <v>8918458.6045197528</v>
      </c>
      <c r="V305" s="665">
        <f t="shared" si="69"/>
        <v>17215.761971827582</v>
      </c>
      <c r="W305" s="590">
        <f t="shared" si="65"/>
        <v>49196615.597781278</v>
      </c>
      <c r="X305" s="589" t="b">
        <f t="shared" si="66"/>
        <v>1</v>
      </c>
    </row>
    <row r="306" spans="9:24" hidden="1">
      <c r="I306" s="589">
        <v>304</v>
      </c>
      <c r="J306" s="654">
        <f t="shared" si="56"/>
        <v>62117.38548147284</v>
      </c>
      <c r="K306" s="655">
        <f t="shared" si="57"/>
        <v>-78536.852178741756</v>
      </c>
      <c r="L306" s="654">
        <f t="shared" si="60"/>
        <v>140654.2376602146</v>
      </c>
      <c r="M306" s="656">
        <f t="shared" si="61"/>
        <v>-11921182.064471478</v>
      </c>
      <c r="N306" s="657">
        <f t="shared" si="67"/>
        <v>462503.12189626362</v>
      </c>
      <c r="O306" s="589">
        <f t="shared" si="62"/>
        <v>328</v>
      </c>
      <c r="P306" s="654">
        <f t="shared" si="58"/>
        <v>44901.623509645258</v>
      </c>
      <c r="Q306" s="664">
        <f t="shared" si="59"/>
        <v>8840.9086149603772</v>
      </c>
      <c r="R306" s="654">
        <f t="shared" si="63"/>
        <v>36060.714894684883</v>
      </c>
      <c r="S306" s="656">
        <f t="shared" si="64"/>
        <v>1290075.5773493715</v>
      </c>
      <c r="T306" s="657">
        <f t="shared" si="68"/>
        <v>8927299.5131347124</v>
      </c>
      <c r="V306" s="665">
        <f t="shared" si="69"/>
        <v>17215.761971827582</v>
      </c>
      <c r="W306" s="590">
        <f t="shared" si="65"/>
        <v>49790367.305440292</v>
      </c>
      <c r="X306" s="589" t="b">
        <f t="shared" si="66"/>
        <v>1</v>
      </c>
    </row>
    <row r="307" spans="9:24" ht="14.4" hidden="1" customHeight="1">
      <c r="I307" s="589">
        <v>305</v>
      </c>
      <c r="J307" s="654">
        <f t="shared" si="56"/>
        <v>62117.38548147284</v>
      </c>
      <c r="K307" s="655">
        <f t="shared" si="57"/>
        <v>-79474.547096476526</v>
      </c>
      <c r="L307" s="654">
        <f t="shared" si="60"/>
        <v>141591.93257794937</v>
      </c>
      <c r="M307" s="656">
        <f t="shared" si="61"/>
        <v>-12062773.997049427</v>
      </c>
      <c r="N307" s="657">
        <f t="shared" si="67"/>
        <v>383028.57479978708</v>
      </c>
      <c r="O307" s="589">
        <f t="shared" si="62"/>
        <v>329</v>
      </c>
      <c r="P307" s="654">
        <f t="shared" si="58"/>
        <v>44901.623509645258</v>
      </c>
      <c r="Q307" s="664">
        <f t="shared" si="59"/>
        <v>8600.5038489958115</v>
      </c>
      <c r="R307" s="654">
        <f t="shared" si="63"/>
        <v>36301.119660649449</v>
      </c>
      <c r="S307" s="656">
        <f t="shared" si="64"/>
        <v>1253774.4576887221</v>
      </c>
      <c r="T307" s="657">
        <f t="shared" si="68"/>
        <v>8935900.0169837084</v>
      </c>
      <c r="V307" s="665">
        <f t="shared" si="69"/>
        <v>17215.761971827582</v>
      </c>
      <c r="W307" s="590">
        <f t="shared" si="65"/>
        <v>50391074.765025549</v>
      </c>
      <c r="X307" s="589" t="b">
        <f t="shared" si="66"/>
        <v>1</v>
      </c>
    </row>
    <row r="308" spans="9:24" ht="14.4" hidden="1" customHeight="1">
      <c r="I308" s="589">
        <v>306</v>
      </c>
      <c r="J308" s="654">
        <f t="shared" si="56"/>
        <v>62117.38548147284</v>
      </c>
      <c r="K308" s="655">
        <f t="shared" si="57"/>
        <v>-80418.493313662853</v>
      </c>
      <c r="L308" s="654">
        <f t="shared" si="60"/>
        <v>142535.87879513571</v>
      </c>
      <c r="M308" s="656">
        <f t="shared" si="61"/>
        <v>-12205309.875844562</v>
      </c>
      <c r="N308" s="657">
        <f t="shared" si="67"/>
        <v>302610.0814861242</v>
      </c>
      <c r="O308" s="589">
        <f t="shared" si="62"/>
        <v>330</v>
      </c>
      <c r="P308" s="654">
        <f t="shared" si="58"/>
        <v>44901.623509645258</v>
      </c>
      <c r="Q308" s="664">
        <f t="shared" si="59"/>
        <v>8358.4963845914808</v>
      </c>
      <c r="R308" s="654">
        <f t="shared" si="63"/>
        <v>36543.127125053776</v>
      </c>
      <c r="S308" s="656">
        <f t="shared" si="64"/>
        <v>1217231.3305636684</v>
      </c>
      <c r="T308" s="657">
        <f t="shared" si="68"/>
        <v>8944258.5133682992</v>
      </c>
      <c r="V308" s="665">
        <f t="shared" si="69"/>
        <v>17215.761971827582</v>
      </c>
      <c r="W308" s="590">
        <f t="shared" si="65"/>
        <v>50998819.462592982</v>
      </c>
      <c r="X308" s="589" t="b">
        <f t="shared" si="66"/>
        <v>1</v>
      </c>
    </row>
    <row r="309" spans="9:24" ht="14.4" hidden="1" customHeight="1">
      <c r="I309" s="589">
        <v>307</v>
      </c>
      <c r="J309" s="654">
        <f t="shared" si="56"/>
        <v>62117.38548147284</v>
      </c>
      <c r="K309" s="655">
        <f t="shared" si="57"/>
        <v>-81368.732505630425</v>
      </c>
      <c r="L309" s="654">
        <f t="shared" si="60"/>
        <v>143486.11798710327</v>
      </c>
      <c r="M309" s="656">
        <f t="shared" si="61"/>
        <v>-12348795.993831666</v>
      </c>
      <c r="N309" s="657">
        <f t="shared" si="67"/>
        <v>221241.34898049379</v>
      </c>
      <c r="O309" s="589">
        <f t="shared" si="62"/>
        <v>331</v>
      </c>
      <c r="P309" s="654">
        <f t="shared" si="58"/>
        <v>44901.623509645258</v>
      </c>
      <c r="Q309" s="664">
        <f t="shared" si="59"/>
        <v>8114.8755370911231</v>
      </c>
      <c r="R309" s="654">
        <f t="shared" si="63"/>
        <v>36786.747972554134</v>
      </c>
      <c r="S309" s="656">
        <f t="shared" si="64"/>
        <v>1180444.5825911143</v>
      </c>
      <c r="T309" s="657">
        <f t="shared" si="68"/>
        <v>8952373.3889053911</v>
      </c>
      <c r="V309" s="665">
        <f t="shared" si="69"/>
        <v>17215.761971827582</v>
      </c>
      <c r="W309" s="590">
        <f t="shared" si="65"/>
        <v>51613683.8388009</v>
      </c>
      <c r="X309" s="589" t="b">
        <f t="shared" si="66"/>
        <v>1</v>
      </c>
    </row>
    <row r="310" spans="9:24" ht="14.4" hidden="1" customHeight="1">
      <c r="I310" s="589">
        <v>308</v>
      </c>
      <c r="J310" s="654">
        <f t="shared" si="56"/>
        <v>62117.38548147284</v>
      </c>
      <c r="K310" s="655">
        <f t="shared" si="57"/>
        <v>-82325.306625544443</v>
      </c>
      <c r="L310" s="654">
        <f t="shared" si="60"/>
        <v>144442.69210701727</v>
      </c>
      <c r="M310" s="656">
        <f t="shared" si="61"/>
        <v>-12493238.685938684</v>
      </c>
      <c r="N310" s="657">
        <f t="shared" si="67"/>
        <v>138916.04235494934</v>
      </c>
      <c r="O310" s="589">
        <f t="shared" si="62"/>
        <v>332</v>
      </c>
      <c r="P310" s="654">
        <f t="shared" si="58"/>
        <v>44901.623509645258</v>
      </c>
      <c r="Q310" s="664">
        <f t="shared" si="59"/>
        <v>7869.6305506074295</v>
      </c>
      <c r="R310" s="654">
        <f t="shared" si="63"/>
        <v>37031.992959037831</v>
      </c>
      <c r="S310" s="656">
        <f t="shared" si="64"/>
        <v>1143412.5896320764</v>
      </c>
      <c r="T310" s="657">
        <f t="shared" si="68"/>
        <v>8960243.0194559991</v>
      </c>
      <c r="V310" s="665">
        <f t="shared" si="69"/>
        <v>17215.761971827582</v>
      </c>
      <c r="W310" s="590">
        <f t="shared" si="65"/>
        <v>52235751.30009307</v>
      </c>
      <c r="X310" s="589" t="b">
        <f t="shared" si="66"/>
        <v>1</v>
      </c>
    </row>
    <row r="311" spans="9:24" ht="14.4" hidden="1" customHeight="1">
      <c r="I311" s="589">
        <v>309</v>
      </c>
      <c r="J311" s="654">
        <f t="shared" si="56"/>
        <v>62117.38548147284</v>
      </c>
      <c r="K311" s="655">
        <f t="shared" si="57"/>
        <v>-83288.257906257903</v>
      </c>
      <c r="L311" s="654">
        <f t="shared" si="60"/>
        <v>145405.64338773076</v>
      </c>
      <c r="M311" s="656">
        <f t="shared" si="61"/>
        <v>-12638644.329326415</v>
      </c>
      <c r="N311" s="657">
        <f t="shared" si="67"/>
        <v>55627.78444869144</v>
      </c>
      <c r="O311" s="589">
        <f t="shared" si="62"/>
        <v>333</v>
      </c>
      <c r="P311" s="654">
        <f t="shared" si="58"/>
        <v>44901.623509645258</v>
      </c>
      <c r="Q311" s="664">
        <f t="shared" si="59"/>
        <v>7622.7505975471768</v>
      </c>
      <c r="R311" s="654">
        <f t="shared" si="63"/>
        <v>37278.872912098079</v>
      </c>
      <c r="S311" s="656">
        <f t="shared" si="64"/>
        <v>1106133.7167199783</v>
      </c>
      <c r="T311" s="657">
        <f t="shared" si="68"/>
        <v>8967865.7700535469</v>
      </c>
      <c r="V311" s="665">
        <f t="shared" si="69"/>
        <v>17215.761971827582</v>
      </c>
      <c r="W311" s="590">
        <f t="shared" si="65"/>
        <v>52865106.230012827</v>
      </c>
      <c r="X311" s="589" t="b">
        <f t="shared" si="66"/>
        <v>1</v>
      </c>
    </row>
    <row r="312" spans="9:24" ht="14.4" hidden="1" customHeight="1">
      <c r="I312" s="589">
        <v>310</v>
      </c>
      <c r="J312" s="654">
        <f t="shared" si="56"/>
        <v>62117.38548147284</v>
      </c>
      <c r="K312" s="655">
        <f t="shared" si="57"/>
        <v>-84257.628862176105</v>
      </c>
      <c r="L312" s="654">
        <f t="shared" si="60"/>
        <v>146375.01434364895</v>
      </c>
      <c r="M312" s="656">
        <f t="shared" si="61"/>
        <v>-12785019.343670065</v>
      </c>
      <c r="N312" s="657">
        <f t="shared" si="67"/>
        <v>-28629.844413484665</v>
      </c>
      <c r="O312" s="589">
        <f t="shared" si="62"/>
        <v>334</v>
      </c>
      <c r="P312" s="654">
        <f t="shared" si="58"/>
        <v>44901.623509645258</v>
      </c>
      <c r="Q312" s="664">
        <f t="shared" si="59"/>
        <v>7374.2247781331889</v>
      </c>
      <c r="R312" s="654">
        <f t="shared" si="63"/>
        <v>37527.398731512068</v>
      </c>
      <c r="S312" s="656">
        <f t="shared" si="64"/>
        <v>1068606.3179884662</v>
      </c>
      <c r="T312" s="657">
        <f t="shared" si="68"/>
        <v>8975239.9948316794</v>
      </c>
      <c r="V312" s="665">
        <f t="shared" si="69"/>
        <v>17215.761971827582</v>
      </c>
      <c r="W312" s="590">
        <f t="shared" si="65"/>
        <v>53501834.000649691</v>
      </c>
      <c r="X312" s="589" t="b">
        <f t="shared" si="66"/>
        <v>1</v>
      </c>
    </row>
    <row r="313" spans="9:24" ht="14.4" hidden="1" customHeight="1">
      <c r="I313" s="589">
        <v>311</v>
      </c>
      <c r="J313" s="654">
        <f t="shared" si="56"/>
        <v>62117.38548147284</v>
      </c>
      <c r="K313" s="655">
        <f t="shared" si="57"/>
        <v>-85233.462291133765</v>
      </c>
      <c r="L313" s="654">
        <f t="shared" si="60"/>
        <v>147350.84777260659</v>
      </c>
      <c r="M313" s="656">
        <f t="shared" si="61"/>
        <v>-12932370.19144267</v>
      </c>
      <c r="N313" s="657">
        <f t="shared" si="67"/>
        <v>-113863.30670461843</v>
      </c>
      <c r="O313" s="589">
        <f t="shared" si="62"/>
        <v>335</v>
      </c>
      <c r="P313" s="654">
        <f t="shared" si="58"/>
        <v>44901.623509645258</v>
      </c>
      <c r="Q313" s="664">
        <f t="shared" si="59"/>
        <v>7124.0421199231087</v>
      </c>
      <c r="R313" s="654">
        <f t="shared" si="63"/>
        <v>37777.581389722152</v>
      </c>
      <c r="S313" s="656">
        <f t="shared" si="64"/>
        <v>1030828.7365987441</v>
      </c>
      <c r="T313" s="657">
        <f t="shared" si="68"/>
        <v>8982364.0369516034</v>
      </c>
      <c r="V313" s="665">
        <f t="shared" si="69"/>
        <v>17215.761971827582</v>
      </c>
      <c r="W313" s="590">
        <f t="shared" si="65"/>
        <v>54146020.984220132</v>
      </c>
      <c r="X313" s="589" t="b">
        <f t="shared" si="66"/>
        <v>1</v>
      </c>
    </row>
    <row r="314" spans="9:24" ht="14.4" hidden="1" customHeight="1">
      <c r="I314" s="589">
        <v>312</v>
      </c>
      <c r="J314" s="654">
        <f t="shared" si="56"/>
        <v>62117.38548147284</v>
      </c>
      <c r="K314" s="655">
        <f t="shared" si="57"/>
        <v>-86215.801276284474</v>
      </c>
      <c r="L314" s="654">
        <f t="shared" si="60"/>
        <v>148333.18675775733</v>
      </c>
      <c r="M314" s="656">
        <f t="shared" si="61"/>
        <v>-13080703.378200427</v>
      </c>
      <c r="N314" s="657">
        <f t="shared" si="67"/>
        <v>-200079.10798090289</v>
      </c>
      <c r="O314" s="589">
        <f t="shared" si="62"/>
        <v>336</v>
      </c>
      <c r="P314" s="654">
        <f t="shared" si="58"/>
        <v>44901.623509645258</v>
      </c>
      <c r="Q314" s="664">
        <f t="shared" si="59"/>
        <v>6872.1915773249611</v>
      </c>
      <c r="R314" s="654">
        <f t="shared" si="63"/>
        <v>38029.431932320294</v>
      </c>
      <c r="S314" s="656">
        <f t="shared" si="64"/>
        <v>992799.3046664237</v>
      </c>
      <c r="T314" s="657">
        <f t="shared" si="68"/>
        <v>8989236.228528928</v>
      </c>
      <c r="V314" s="665">
        <f t="shared" si="69"/>
        <v>17215.761971827582</v>
      </c>
      <c r="W314" s="590">
        <f t="shared" si="65"/>
        <v>54797754.564783953</v>
      </c>
      <c r="X314" s="589" t="b">
        <f t="shared" si="66"/>
        <v>1</v>
      </c>
    </row>
    <row r="315" spans="9:24" ht="14.4" hidden="1" customHeight="1">
      <c r="I315" s="589">
        <v>313</v>
      </c>
      <c r="J315" s="654">
        <f t="shared" si="56"/>
        <v>62117.38548147284</v>
      </c>
      <c r="K315" s="655">
        <f t="shared" si="57"/>
        <v>-87204.689188002856</v>
      </c>
      <c r="L315" s="654">
        <f t="shared" si="60"/>
        <v>149322.0746694757</v>
      </c>
      <c r="M315" s="656">
        <f t="shared" si="61"/>
        <v>-13230025.452869903</v>
      </c>
      <c r="N315" s="657">
        <f t="shared" si="67"/>
        <v>-287283.79716890573</v>
      </c>
      <c r="O315" s="589">
        <f t="shared" si="62"/>
        <v>337</v>
      </c>
      <c r="P315" s="654">
        <f t="shared" si="58"/>
        <v>44901.623509645258</v>
      </c>
      <c r="Q315" s="664">
        <f t="shared" si="59"/>
        <v>6618.6620311094921</v>
      </c>
      <c r="R315" s="654">
        <f t="shared" si="63"/>
        <v>38282.96147853577</v>
      </c>
      <c r="S315" s="656">
        <f t="shared" si="64"/>
        <v>954516.34318788792</v>
      </c>
      <c r="T315" s="657">
        <f t="shared" si="68"/>
        <v>8995854.8905600384</v>
      </c>
      <c r="V315" s="665">
        <f t="shared" si="69"/>
        <v>17215.761971827582</v>
      </c>
      <c r="W315" s="590">
        <f t="shared" si="65"/>
        <v>55457123.150097951</v>
      </c>
      <c r="X315" s="589" t="b">
        <f t="shared" si="66"/>
        <v>1</v>
      </c>
    </row>
    <row r="316" spans="9:24" ht="14.4" hidden="1" customHeight="1">
      <c r="I316" s="589">
        <v>314</v>
      </c>
      <c r="J316" s="654">
        <f t="shared" si="56"/>
        <v>62117.38548147284</v>
      </c>
      <c r="K316" s="655">
        <f t="shared" si="57"/>
        <v>-88200.169685799367</v>
      </c>
      <c r="L316" s="654">
        <f t="shared" si="60"/>
        <v>150317.55516727222</v>
      </c>
      <c r="M316" s="656">
        <f t="shared" si="61"/>
        <v>-13380343.008037176</v>
      </c>
      <c r="N316" s="657">
        <f t="shared" si="67"/>
        <v>-375483.96685470513</v>
      </c>
      <c r="O316" s="589">
        <f t="shared" si="62"/>
        <v>338</v>
      </c>
      <c r="P316" s="654">
        <f t="shared" si="58"/>
        <v>44901.623509645258</v>
      </c>
      <c r="Q316" s="664">
        <f t="shared" si="59"/>
        <v>6363.4422879192534</v>
      </c>
      <c r="R316" s="654">
        <f t="shared" si="63"/>
        <v>38538.181221726001</v>
      </c>
      <c r="S316" s="656">
        <f t="shared" si="64"/>
        <v>915978.16196616192</v>
      </c>
      <c r="T316" s="657">
        <f t="shared" si="68"/>
        <v>9002218.3328479584</v>
      </c>
      <c r="V316" s="665">
        <f t="shared" si="69"/>
        <v>17215.761971827582</v>
      </c>
      <c r="W316" s="590">
        <f t="shared" si="65"/>
        <v>56124216.183608465</v>
      </c>
      <c r="X316" s="589" t="b">
        <f t="shared" si="66"/>
        <v>1</v>
      </c>
    </row>
    <row r="317" spans="9:24" ht="14.4" hidden="1" customHeight="1">
      <c r="I317" s="589">
        <v>315</v>
      </c>
      <c r="J317" s="654">
        <f t="shared" si="56"/>
        <v>62117.38548147284</v>
      </c>
      <c r="K317" s="655">
        <f t="shared" si="57"/>
        <v>-89202.286720247852</v>
      </c>
      <c r="L317" s="654">
        <f t="shared" si="60"/>
        <v>151319.67220172071</v>
      </c>
      <c r="M317" s="656">
        <f t="shared" si="61"/>
        <v>-13531662.680238897</v>
      </c>
      <c r="N317" s="657">
        <f t="shared" si="67"/>
        <v>-464686.25357495295</v>
      </c>
      <c r="O317" s="589">
        <f t="shared" si="62"/>
        <v>339</v>
      </c>
      <c r="P317" s="654">
        <f t="shared" si="58"/>
        <v>44901.623509645258</v>
      </c>
      <c r="Q317" s="664">
        <f t="shared" si="59"/>
        <v>6106.521079774413</v>
      </c>
      <c r="R317" s="654">
        <f t="shared" si="63"/>
        <v>38795.102429870843</v>
      </c>
      <c r="S317" s="656">
        <f t="shared" si="64"/>
        <v>877183.05953629105</v>
      </c>
      <c r="T317" s="657">
        <f t="shared" si="68"/>
        <v>9008324.8539277334</v>
      </c>
      <c r="V317" s="665">
        <f t="shared" si="69"/>
        <v>17215.761971827582</v>
      </c>
      <c r="W317" s="590">
        <f t="shared" si="65"/>
        <v>56799124.156584367</v>
      </c>
      <c r="X317" s="589" t="b">
        <f t="shared" si="66"/>
        <v>1</v>
      </c>
    </row>
    <row r="318" spans="9:24" ht="14.4" hidden="1" customHeight="1">
      <c r="I318" s="589">
        <v>316</v>
      </c>
      <c r="J318" s="654">
        <f t="shared" si="56"/>
        <v>62117.38548147284</v>
      </c>
      <c r="K318" s="655">
        <f t="shared" si="57"/>
        <v>-90211.084534925991</v>
      </c>
      <c r="L318" s="654">
        <f t="shared" si="60"/>
        <v>152328.47001639882</v>
      </c>
      <c r="M318" s="656">
        <f t="shared" si="61"/>
        <v>-13683991.150255296</v>
      </c>
      <c r="N318" s="657">
        <f t="shared" si="67"/>
        <v>-554897.33810987894</v>
      </c>
      <c r="O318" s="589">
        <f t="shared" si="62"/>
        <v>340</v>
      </c>
      <c r="P318" s="654">
        <f t="shared" si="58"/>
        <v>44901.623509645258</v>
      </c>
      <c r="Q318" s="664">
        <f t="shared" si="59"/>
        <v>5847.8870635752737</v>
      </c>
      <c r="R318" s="654">
        <f t="shared" si="63"/>
        <v>39053.736446069983</v>
      </c>
      <c r="S318" s="656">
        <f t="shared" si="64"/>
        <v>838129.32309022103</v>
      </c>
      <c r="T318" s="657">
        <f t="shared" si="68"/>
        <v>9014172.7409913093</v>
      </c>
      <c r="V318" s="665">
        <f t="shared" si="69"/>
        <v>17215.761971827582</v>
      </c>
      <c r="W318" s="590">
        <f t="shared" si="65"/>
        <v>57481938.620392233</v>
      </c>
      <c r="X318" s="589" t="b">
        <f t="shared" si="66"/>
        <v>1</v>
      </c>
    </row>
    <row r="319" spans="9:24" ht="14.4" hidden="1" customHeight="1">
      <c r="I319" s="589">
        <v>317</v>
      </c>
      <c r="J319" s="654">
        <f t="shared" si="56"/>
        <v>62117.38548147284</v>
      </c>
      <c r="K319" s="655">
        <f t="shared" si="57"/>
        <v>-91226.607668368655</v>
      </c>
      <c r="L319" s="654">
        <f t="shared" si="60"/>
        <v>153343.9931498415</v>
      </c>
      <c r="M319" s="656">
        <f t="shared" si="61"/>
        <v>-13837335.143405138</v>
      </c>
      <c r="N319" s="657">
        <f t="shared" si="67"/>
        <v>-646123.94577824755</v>
      </c>
      <c r="O319" s="589">
        <f t="shared" si="62"/>
        <v>341</v>
      </c>
      <c r="P319" s="654">
        <f t="shared" si="58"/>
        <v>44901.623509645258</v>
      </c>
      <c r="Q319" s="664">
        <f t="shared" si="59"/>
        <v>5587.5288206014739</v>
      </c>
      <c r="R319" s="654">
        <f t="shared" si="63"/>
        <v>39314.094689043784</v>
      </c>
      <c r="S319" s="656">
        <f t="shared" si="64"/>
        <v>798815.22840117721</v>
      </c>
      <c r="T319" s="657">
        <f t="shared" si="68"/>
        <v>9019760.2698119115</v>
      </c>
      <c r="V319" s="665">
        <f t="shared" si="69"/>
        <v>17215.761971827582</v>
      </c>
      <c r="W319" s="590">
        <f t="shared" si="65"/>
        <v>58172752.19891528</v>
      </c>
      <c r="X319" s="589" t="b">
        <f t="shared" si="66"/>
        <v>1</v>
      </c>
    </row>
    <row r="320" spans="9:24" ht="14.4" hidden="1" customHeight="1">
      <c r="I320" s="589">
        <v>318</v>
      </c>
      <c r="J320" s="654">
        <f t="shared" si="56"/>
        <v>62117.38548147284</v>
      </c>
      <c r="K320" s="655">
        <f t="shared" si="57"/>
        <v>-92248.900956034253</v>
      </c>
      <c r="L320" s="654">
        <f t="shared" si="60"/>
        <v>154366.28643750708</v>
      </c>
      <c r="M320" s="656">
        <f t="shared" si="61"/>
        <v>-13991701.429842645</v>
      </c>
      <c r="N320" s="657">
        <f t="shared" si="67"/>
        <v>-738372.84673428186</v>
      </c>
      <c r="O320" s="589">
        <f t="shared" si="62"/>
        <v>342</v>
      </c>
      <c r="P320" s="654">
        <f t="shared" si="58"/>
        <v>44901.623509645258</v>
      </c>
      <c r="Q320" s="664">
        <f t="shared" si="59"/>
        <v>5325.4348560078488</v>
      </c>
      <c r="R320" s="654">
        <f t="shared" si="63"/>
        <v>39576.188653637408</v>
      </c>
      <c r="S320" s="656">
        <f t="shared" si="64"/>
        <v>759239.03974753979</v>
      </c>
      <c r="T320" s="657">
        <f t="shared" si="68"/>
        <v>9025085.7046679202</v>
      </c>
      <c r="V320" s="665">
        <f t="shared" si="69"/>
        <v>17215.761971827582</v>
      </c>
      <c r="W320" s="590">
        <f t="shared" si="65"/>
        <v>58871658.601117834</v>
      </c>
      <c r="X320" s="589" t="b">
        <f t="shared" si="66"/>
        <v>1</v>
      </c>
    </row>
    <row r="321" spans="9:24" ht="14.4" hidden="1" customHeight="1">
      <c r="I321" s="589">
        <v>319</v>
      </c>
      <c r="J321" s="654">
        <f t="shared" si="56"/>
        <v>62117.38548147284</v>
      </c>
      <c r="K321" s="655">
        <f t="shared" si="57"/>
        <v>-93278.009532284312</v>
      </c>
      <c r="L321" s="654">
        <f t="shared" si="60"/>
        <v>155395.39501375717</v>
      </c>
      <c r="M321" s="656">
        <f t="shared" si="61"/>
        <v>-14147096.824856402</v>
      </c>
      <c r="N321" s="657">
        <f t="shared" si="67"/>
        <v>-831650.8562665662</v>
      </c>
      <c r="O321" s="589">
        <f t="shared" si="62"/>
        <v>343</v>
      </c>
      <c r="P321" s="654">
        <f t="shared" si="58"/>
        <v>44901.623509645258</v>
      </c>
      <c r="Q321" s="664">
        <f t="shared" si="59"/>
        <v>5061.593598316932</v>
      </c>
      <c r="R321" s="654">
        <f t="shared" si="63"/>
        <v>39840.029911328325</v>
      </c>
      <c r="S321" s="656">
        <f t="shared" si="64"/>
        <v>719399.00983621145</v>
      </c>
      <c r="T321" s="657">
        <f t="shared" si="68"/>
        <v>9030147.2982662376</v>
      </c>
      <c r="V321" s="665">
        <f t="shared" si="69"/>
        <v>17215.761971827582</v>
      </c>
      <c r="W321" s="590">
        <f t="shared" si="65"/>
        <v>59578752.633756943</v>
      </c>
      <c r="X321" s="589" t="b">
        <f t="shared" si="66"/>
        <v>1</v>
      </c>
    </row>
    <row r="322" spans="9:24" ht="14.4" hidden="1" customHeight="1">
      <c r="I322" s="589">
        <v>320</v>
      </c>
      <c r="J322" s="654">
        <f t="shared" si="56"/>
        <v>62117.38548147284</v>
      </c>
      <c r="K322" s="655">
        <f t="shared" si="57"/>
        <v>-94313.978832376015</v>
      </c>
      <c r="L322" s="654">
        <f t="shared" si="60"/>
        <v>156431.36431384884</v>
      </c>
      <c r="M322" s="656">
        <f t="shared" si="61"/>
        <v>-14303528.189170251</v>
      </c>
      <c r="N322" s="657">
        <f t="shared" si="67"/>
        <v>-925964.83509894228</v>
      </c>
      <c r="O322" s="589">
        <f t="shared" si="62"/>
        <v>344</v>
      </c>
      <c r="P322" s="654">
        <f t="shared" si="58"/>
        <v>44901.623509645258</v>
      </c>
      <c r="Q322" s="664">
        <f t="shared" si="59"/>
        <v>4795.9933989080764</v>
      </c>
      <c r="R322" s="654">
        <f t="shared" si="63"/>
        <v>40105.630110737184</v>
      </c>
      <c r="S322" s="656">
        <f t="shared" si="64"/>
        <v>679293.37972547428</v>
      </c>
      <c r="T322" s="657">
        <f t="shared" si="68"/>
        <v>9034943.2916651461</v>
      </c>
      <c r="V322" s="665">
        <f t="shared" si="69"/>
        <v>17215.761971827582</v>
      </c>
      <c r="W322" s="590">
        <f t="shared" si="65"/>
        <v>60294130.214242943</v>
      </c>
      <c r="X322" s="589" t="b">
        <f t="shared" si="66"/>
        <v>1</v>
      </c>
    </row>
    <row r="323" spans="9:24" ht="14.4" hidden="1" customHeight="1">
      <c r="I323" s="589">
        <v>321</v>
      </c>
      <c r="J323" s="654">
        <f t="shared" ref="J323:J362" si="70">$C$8</f>
        <v>62117.38548147284</v>
      </c>
      <c r="K323" s="655">
        <f t="shared" ref="K323:K362" si="71">M322*($C$6/12)</f>
        <v>-95356.854594468343</v>
      </c>
      <c r="L323" s="654">
        <f t="shared" si="60"/>
        <v>157474.2400759412</v>
      </c>
      <c r="M323" s="656">
        <f t="shared" si="61"/>
        <v>-14461002.429246191</v>
      </c>
      <c r="N323" s="657">
        <f t="shared" si="67"/>
        <v>-1021321.6896934106</v>
      </c>
      <c r="O323" s="589">
        <f t="shared" si="62"/>
        <v>345</v>
      </c>
      <c r="P323" s="654">
        <f t="shared" ref="P323:P362" si="72">$C$15</f>
        <v>44901.623509645258</v>
      </c>
      <c r="Q323" s="664">
        <f t="shared" ref="Q323:Q362" si="73">S322*($C$6/12)</f>
        <v>4528.6225315031625</v>
      </c>
      <c r="R323" s="654">
        <f t="shared" si="63"/>
        <v>40373.000978142096</v>
      </c>
      <c r="S323" s="656">
        <f t="shared" si="64"/>
        <v>638920.37874733214</v>
      </c>
      <c r="T323" s="657">
        <f t="shared" si="68"/>
        <v>9039471.9141966496</v>
      </c>
      <c r="V323" s="665">
        <f t="shared" si="69"/>
        <v>17215.761971827582</v>
      </c>
      <c r="W323" s="590">
        <f t="shared" si="65"/>
        <v>61017888.383650661</v>
      </c>
      <c r="X323" s="589" t="b">
        <f t="shared" si="66"/>
        <v>1</v>
      </c>
    </row>
    <row r="324" spans="9:24" ht="14.4" hidden="1" customHeight="1">
      <c r="I324" s="589">
        <v>322</v>
      </c>
      <c r="J324" s="654">
        <f t="shared" si="70"/>
        <v>62117.38548147284</v>
      </c>
      <c r="K324" s="655">
        <f t="shared" si="71"/>
        <v>-96406.682861641282</v>
      </c>
      <c r="L324" s="654">
        <f t="shared" ref="L324:L362" si="74">J324-K324</f>
        <v>158524.06834311411</v>
      </c>
      <c r="M324" s="656">
        <f t="shared" ref="M324:M362" si="75">M323-L324</f>
        <v>-14619526.497589305</v>
      </c>
      <c r="N324" s="657">
        <f t="shared" si="67"/>
        <v>-1117728.3725550519</v>
      </c>
      <c r="O324" s="589">
        <f t="shared" ref="O324:O362" si="76">O323+1</f>
        <v>346</v>
      </c>
      <c r="P324" s="654">
        <f t="shared" si="72"/>
        <v>44901.623509645258</v>
      </c>
      <c r="Q324" s="664">
        <f t="shared" si="73"/>
        <v>4259.469191648881</v>
      </c>
      <c r="R324" s="654">
        <f t="shared" ref="R324:R362" si="77">P324-Q324</f>
        <v>40642.154317996377</v>
      </c>
      <c r="S324" s="656">
        <f t="shared" ref="S324:S362" si="78">S323-R324</f>
        <v>598278.22442933579</v>
      </c>
      <c r="T324" s="657">
        <f t="shared" si="68"/>
        <v>9043731.3833882976</v>
      </c>
      <c r="V324" s="665">
        <f t="shared" si="69"/>
        <v>17215.761971827582</v>
      </c>
      <c r="W324" s="590">
        <f t="shared" ref="W324:W387" si="79">FV((1+Scenario1)^(1/12)-1,1,-V324,-W323,1)</f>
        <v>61750125.319883056</v>
      </c>
      <c r="X324" s="589" t="b">
        <f t="shared" ref="X324:X362" si="80">W324&gt;=S324</f>
        <v>1</v>
      </c>
    </row>
    <row r="325" spans="9:24" ht="14.4" hidden="1" customHeight="1">
      <c r="I325" s="589">
        <v>323</v>
      </c>
      <c r="J325" s="654">
        <f t="shared" si="70"/>
        <v>62117.38548147284</v>
      </c>
      <c r="K325" s="655">
        <f t="shared" si="71"/>
        <v>-97463.5099839287</v>
      </c>
      <c r="L325" s="654">
        <f t="shared" si="74"/>
        <v>159580.89546540153</v>
      </c>
      <c r="M325" s="656">
        <f t="shared" si="75"/>
        <v>-14779107.393054707</v>
      </c>
      <c r="N325" s="657">
        <f t="shared" ref="N325:N362" si="81">N324+K325</f>
        <v>-1215191.8825389806</v>
      </c>
      <c r="O325" s="589">
        <f t="shared" si="76"/>
        <v>347</v>
      </c>
      <c r="P325" s="654">
        <f t="shared" si="72"/>
        <v>44901.623509645258</v>
      </c>
      <c r="Q325" s="664">
        <f t="shared" si="73"/>
        <v>3988.5214961955721</v>
      </c>
      <c r="R325" s="654">
        <f t="shared" si="77"/>
        <v>40913.102013449687</v>
      </c>
      <c r="S325" s="656">
        <f t="shared" si="78"/>
        <v>557365.12241588614</v>
      </c>
      <c r="T325" s="657">
        <f t="shared" ref="T325:T362" si="82">T324+Q325</f>
        <v>9047719.904884493</v>
      </c>
      <c r="V325" s="665">
        <f t="shared" ref="V325:V362" si="83">V324</f>
        <v>17215.761971827582</v>
      </c>
      <c r="W325" s="590">
        <f t="shared" si="79"/>
        <v>62490940.350989059</v>
      </c>
      <c r="X325" s="589" t="b">
        <f t="shared" si="80"/>
        <v>1</v>
      </c>
    </row>
    <row r="326" spans="9:24" ht="14.4" hidden="1" customHeight="1">
      <c r="I326" s="589">
        <v>324</v>
      </c>
      <c r="J326" s="654">
        <f t="shared" si="70"/>
        <v>62117.38548147284</v>
      </c>
      <c r="K326" s="655">
        <f t="shared" si="71"/>
        <v>-98527.382620364719</v>
      </c>
      <c r="L326" s="654">
        <f t="shared" si="74"/>
        <v>160644.76810183754</v>
      </c>
      <c r="M326" s="656">
        <f t="shared" si="75"/>
        <v>-14939752.161156544</v>
      </c>
      <c r="N326" s="657">
        <f t="shared" si="81"/>
        <v>-1313719.2651593452</v>
      </c>
      <c r="O326" s="589">
        <f t="shared" si="76"/>
        <v>348</v>
      </c>
      <c r="P326" s="654">
        <f t="shared" si="72"/>
        <v>44901.623509645258</v>
      </c>
      <c r="Q326" s="664">
        <f t="shared" si="73"/>
        <v>3715.7674827725746</v>
      </c>
      <c r="R326" s="654">
        <f t="shared" si="77"/>
        <v>41185.856026872687</v>
      </c>
      <c r="S326" s="656">
        <f t="shared" si="78"/>
        <v>516179.26638901344</v>
      </c>
      <c r="T326" s="657">
        <f t="shared" si="82"/>
        <v>9051435.6723672654</v>
      </c>
      <c r="V326" s="665">
        <f t="shared" si="83"/>
        <v>17215.761971827582</v>
      </c>
      <c r="W326" s="590">
        <f t="shared" si="79"/>
        <v>63240433.968637452</v>
      </c>
      <c r="X326" s="589" t="b">
        <f t="shared" si="80"/>
        <v>1</v>
      </c>
    </row>
    <row r="327" spans="9:24" ht="14.4" hidden="1" customHeight="1">
      <c r="I327" s="589">
        <v>325</v>
      </c>
      <c r="J327" s="654">
        <f t="shared" si="70"/>
        <v>62117.38548147284</v>
      </c>
      <c r="K327" s="655">
        <f t="shared" si="71"/>
        <v>-99598.347741043632</v>
      </c>
      <c r="L327" s="654">
        <f t="shared" si="74"/>
        <v>161715.73322251649</v>
      </c>
      <c r="M327" s="656">
        <f t="shared" si="75"/>
        <v>-15101467.894379061</v>
      </c>
      <c r="N327" s="657">
        <f t="shared" si="81"/>
        <v>-1413317.6129003889</v>
      </c>
      <c r="O327" s="589">
        <f t="shared" si="76"/>
        <v>349</v>
      </c>
      <c r="P327" s="654">
        <f t="shared" si="72"/>
        <v>44901.623509645258</v>
      </c>
      <c r="Q327" s="664">
        <f t="shared" si="73"/>
        <v>3441.1951092600898</v>
      </c>
      <c r="R327" s="654">
        <f t="shared" si="77"/>
        <v>41460.428400385172</v>
      </c>
      <c r="S327" s="656">
        <f t="shared" si="78"/>
        <v>474718.83798862825</v>
      </c>
      <c r="T327" s="657">
        <f t="shared" si="82"/>
        <v>9054876.8674765248</v>
      </c>
      <c r="V327" s="665">
        <f t="shared" si="83"/>
        <v>17215.761971827582</v>
      </c>
      <c r="W327" s="590">
        <f t="shared" si="79"/>
        <v>63998707.841748551</v>
      </c>
      <c r="X327" s="589" t="b">
        <f t="shared" si="80"/>
        <v>1</v>
      </c>
    </row>
    <row r="328" spans="9:24" ht="14.4" hidden="1" customHeight="1">
      <c r="I328" s="589">
        <v>326</v>
      </c>
      <c r="J328" s="654">
        <f t="shared" si="70"/>
        <v>62117.38548147284</v>
      </c>
      <c r="K328" s="655">
        <f t="shared" si="71"/>
        <v>-100676.45262919375</v>
      </c>
      <c r="L328" s="654">
        <f t="shared" si="74"/>
        <v>162793.83811066661</v>
      </c>
      <c r="M328" s="656">
        <f t="shared" si="75"/>
        <v>-15264261.732489727</v>
      </c>
      <c r="N328" s="657">
        <f t="shared" si="81"/>
        <v>-1513994.0655295826</v>
      </c>
      <c r="O328" s="589">
        <f t="shared" si="76"/>
        <v>350</v>
      </c>
      <c r="P328" s="654">
        <f t="shared" si="72"/>
        <v>44901.623509645258</v>
      </c>
      <c r="Q328" s="664">
        <f t="shared" si="73"/>
        <v>3164.7922532575217</v>
      </c>
      <c r="R328" s="654">
        <f t="shared" si="77"/>
        <v>41736.831256387733</v>
      </c>
      <c r="S328" s="656">
        <f t="shared" si="78"/>
        <v>432982.00673224049</v>
      </c>
      <c r="T328" s="657">
        <f t="shared" si="82"/>
        <v>9058041.6597297825</v>
      </c>
      <c r="V328" s="665">
        <f t="shared" si="83"/>
        <v>17215.761971827582</v>
      </c>
      <c r="W328" s="590">
        <f t="shared" si="79"/>
        <v>64765864.830285646</v>
      </c>
      <c r="X328" s="589" t="b">
        <f t="shared" si="80"/>
        <v>1</v>
      </c>
    </row>
    <row r="329" spans="9:24" ht="14.4" hidden="1" customHeight="1">
      <c r="I329" s="589">
        <v>327</v>
      </c>
      <c r="J329" s="654">
        <f t="shared" si="70"/>
        <v>62117.38548147284</v>
      </c>
      <c r="K329" s="655">
        <f t="shared" si="71"/>
        <v>-101761.74488326485</v>
      </c>
      <c r="L329" s="654">
        <f t="shared" si="74"/>
        <v>163879.13036473771</v>
      </c>
      <c r="M329" s="656">
        <f t="shared" si="75"/>
        <v>-15428140.862854466</v>
      </c>
      <c r="N329" s="657">
        <f t="shared" si="81"/>
        <v>-1615755.8104128474</v>
      </c>
      <c r="O329" s="589">
        <f t="shared" si="76"/>
        <v>351</v>
      </c>
      <c r="P329" s="654">
        <f t="shared" si="72"/>
        <v>44901.623509645258</v>
      </c>
      <c r="Q329" s="664">
        <f t="shared" si="73"/>
        <v>2886.5467115482702</v>
      </c>
      <c r="R329" s="654">
        <f t="shared" si="77"/>
        <v>42015.07679809699</v>
      </c>
      <c r="S329" s="656">
        <f t="shared" si="78"/>
        <v>390966.9299341435</v>
      </c>
      <c r="T329" s="657">
        <f t="shared" si="82"/>
        <v>9060928.2064413317</v>
      </c>
      <c r="V329" s="665">
        <f t="shared" si="83"/>
        <v>17215.761971827582</v>
      </c>
      <c r="W329" s="590">
        <f t="shared" si="79"/>
        <v>65542008.999207936</v>
      </c>
      <c r="X329" s="589" t="b">
        <f t="shared" si="80"/>
        <v>1</v>
      </c>
    </row>
    <row r="330" spans="9:24" ht="14.4" hidden="1" customHeight="1">
      <c r="I330" s="589">
        <v>328</v>
      </c>
      <c r="J330" s="654">
        <f t="shared" si="70"/>
        <v>62117.38548147284</v>
      </c>
      <c r="K330" s="655">
        <f t="shared" si="71"/>
        <v>-102854.27241902977</v>
      </c>
      <c r="L330" s="654">
        <f t="shared" si="74"/>
        <v>164971.65790050261</v>
      </c>
      <c r="M330" s="656">
        <f t="shared" si="75"/>
        <v>-15593112.520754969</v>
      </c>
      <c r="N330" s="657">
        <f t="shared" si="81"/>
        <v>-1718610.0828318773</v>
      </c>
      <c r="O330" s="589">
        <f t="shared" si="76"/>
        <v>352</v>
      </c>
      <c r="P330" s="654">
        <f t="shared" si="72"/>
        <v>44901.623509645258</v>
      </c>
      <c r="Q330" s="664">
        <f t="shared" si="73"/>
        <v>2606.4461995609568</v>
      </c>
      <c r="R330" s="654">
        <f t="shared" si="77"/>
        <v>42295.177310084298</v>
      </c>
      <c r="S330" s="656">
        <f t="shared" si="78"/>
        <v>348671.75262405921</v>
      </c>
      <c r="T330" s="657">
        <f t="shared" si="82"/>
        <v>9063534.6526408922</v>
      </c>
      <c r="V330" s="665">
        <f t="shared" si="83"/>
        <v>17215.761971827582</v>
      </c>
      <c r="W330" s="590">
        <f t="shared" si="79"/>
        <v>66327245.632586978</v>
      </c>
      <c r="X330" s="589" t="b">
        <f t="shared" si="80"/>
        <v>1</v>
      </c>
    </row>
    <row r="331" spans="9:24" ht="14.4" hidden="1" customHeight="1">
      <c r="I331" s="589">
        <v>329</v>
      </c>
      <c r="J331" s="654">
        <f t="shared" si="70"/>
        <v>62117.38548147284</v>
      </c>
      <c r="K331" s="655">
        <f t="shared" si="71"/>
        <v>-103954.08347169979</v>
      </c>
      <c r="L331" s="654">
        <f t="shared" si="74"/>
        <v>166071.46895317262</v>
      </c>
      <c r="M331" s="656">
        <f t="shared" si="75"/>
        <v>-15759183.98970814</v>
      </c>
      <c r="N331" s="657">
        <f t="shared" si="81"/>
        <v>-1822564.1663035771</v>
      </c>
      <c r="O331" s="589">
        <f t="shared" si="76"/>
        <v>353</v>
      </c>
      <c r="P331" s="654">
        <f t="shared" si="72"/>
        <v>44901.623509645258</v>
      </c>
      <c r="Q331" s="664">
        <f t="shared" si="73"/>
        <v>2324.4783508270616</v>
      </c>
      <c r="R331" s="654">
        <f t="shared" si="77"/>
        <v>42577.145158818195</v>
      </c>
      <c r="S331" s="656">
        <f t="shared" si="78"/>
        <v>306094.60746524099</v>
      </c>
      <c r="T331" s="657">
        <f t="shared" si="82"/>
        <v>9065859.1309917197</v>
      </c>
      <c r="V331" s="665">
        <f t="shared" si="83"/>
        <v>17215.761971827582</v>
      </c>
      <c r="W331" s="590">
        <f t="shared" si="79"/>
        <v>67121681.247888476</v>
      </c>
      <c r="X331" s="589" t="b">
        <f t="shared" si="80"/>
        <v>1</v>
      </c>
    </row>
    <row r="332" spans="9:24" ht="14.4" hidden="1" customHeight="1">
      <c r="I332" s="589">
        <v>330</v>
      </c>
      <c r="J332" s="654">
        <f t="shared" si="70"/>
        <v>62117.38548147284</v>
      </c>
      <c r="K332" s="655">
        <f t="shared" si="71"/>
        <v>-105061.22659805427</v>
      </c>
      <c r="L332" s="654">
        <f t="shared" si="74"/>
        <v>167178.61207952711</v>
      </c>
      <c r="M332" s="656">
        <f t="shared" si="75"/>
        <v>-15926362.601787668</v>
      </c>
      <c r="N332" s="657">
        <f t="shared" si="81"/>
        <v>-1927625.3929016313</v>
      </c>
      <c r="O332" s="589">
        <f t="shared" si="76"/>
        <v>354</v>
      </c>
      <c r="P332" s="654">
        <f t="shared" si="72"/>
        <v>44901.623509645258</v>
      </c>
      <c r="Q332" s="664">
        <f t="shared" si="73"/>
        <v>2040.63071643494</v>
      </c>
      <c r="R332" s="654">
        <f t="shared" si="77"/>
        <v>42860.992793210316</v>
      </c>
      <c r="S332" s="656">
        <f t="shared" si="78"/>
        <v>263233.61467203067</v>
      </c>
      <c r="T332" s="657">
        <f t="shared" si="82"/>
        <v>9067899.7617081553</v>
      </c>
      <c r="V332" s="665">
        <f t="shared" si="83"/>
        <v>17215.761971827582</v>
      </c>
      <c r="W332" s="590">
        <f t="shared" si="79"/>
        <v>67925423.610421404</v>
      </c>
      <c r="X332" s="589" t="b">
        <f t="shared" si="80"/>
        <v>1</v>
      </c>
    </row>
    <row r="333" spans="9:24" ht="14.4" hidden="1" customHeight="1">
      <c r="I333" s="589">
        <v>331</v>
      </c>
      <c r="J333" s="654">
        <f t="shared" si="70"/>
        <v>62117.38548147284</v>
      </c>
      <c r="K333" s="655">
        <f t="shared" si="71"/>
        <v>-106175.75067858446</v>
      </c>
      <c r="L333" s="654">
        <f t="shared" si="74"/>
        <v>168293.1361600573</v>
      </c>
      <c r="M333" s="656">
        <f t="shared" si="75"/>
        <v>-16094655.737947725</v>
      </c>
      <c r="N333" s="657">
        <f t="shared" si="81"/>
        <v>-2033801.1435802158</v>
      </c>
      <c r="O333" s="589">
        <f t="shared" si="76"/>
        <v>355</v>
      </c>
      <c r="P333" s="654">
        <f t="shared" si="72"/>
        <v>44901.623509645258</v>
      </c>
      <c r="Q333" s="664">
        <f t="shared" si="73"/>
        <v>1754.8907644802046</v>
      </c>
      <c r="R333" s="654">
        <f t="shared" si="77"/>
        <v>43146.732745165056</v>
      </c>
      <c r="S333" s="656">
        <f t="shared" si="78"/>
        <v>220086.88192686561</v>
      </c>
      <c r="T333" s="657">
        <f t="shared" si="82"/>
        <v>9069654.6524726357</v>
      </c>
      <c r="V333" s="665">
        <f t="shared" si="83"/>
        <v>17215.761971827582</v>
      </c>
      <c r="W333" s="590">
        <f t="shared" si="79"/>
        <v>68738581.747956365</v>
      </c>
      <c r="X333" s="589" t="b">
        <f t="shared" si="80"/>
        <v>1</v>
      </c>
    </row>
    <row r="334" spans="9:24" ht="14.4" hidden="1" customHeight="1">
      <c r="I334" s="589">
        <v>332</v>
      </c>
      <c r="J334" s="654">
        <f t="shared" si="70"/>
        <v>62117.38548147284</v>
      </c>
      <c r="K334" s="655">
        <f t="shared" si="71"/>
        <v>-107297.7049196515</v>
      </c>
      <c r="L334" s="654">
        <f t="shared" si="74"/>
        <v>169415.09040112433</v>
      </c>
      <c r="M334" s="656">
        <f t="shared" si="75"/>
        <v>-16264070.828348849</v>
      </c>
      <c r="N334" s="657">
        <f t="shared" si="81"/>
        <v>-2141098.8484998671</v>
      </c>
      <c r="O334" s="589">
        <f t="shared" si="76"/>
        <v>356</v>
      </c>
      <c r="P334" s="654">
        <f t="shared" si="72"/>
        <v>44901.623509645258</v>
      </c>
      <c r="Q334" s="664">
        <f t="shared" si="73"/>
        <v>1467.2458795124376</v>
      </c>
      <c r="R334" s="654">
        <f t="shared" si="77"/>
        <v>43434.377630132818</v>
      </c>
      <c r="S334" s="656">
        <f t="shared" si="78"/>
        <v>176652.50429673278</v>
      </c>
      <c r="T334" s="657">
        <f t="shared" si="82"/>
        <v>9071121.898352148</v>
      </c>
      <c r="V334" s="665">
        <f t="shared" si="83"/>
        <v>17215.761971827582</v>
      </c>
      <c r="W334" s="590">
        <f t="shared" si="79"/>
        <v>69561265.965515256</v>
      </c>
      <c r="X334" s="589" t="b">
        <f t="shared" si="80"/>
        <v>1</v>
      </c>
    </row>
    <row r="335" spans="9:24" ht="14.4" hidden="1" customHeight="1">
      <c r="I335" s="589">
        <v>333</v>
      </c>
      <c r="J335" s="654">
        <f t="shared" si="70"/>
        <v>62117.38548147284</v>
      </c>
      <c r="K335" s="655">
        <f t="shared" si="71"/>
        <v>-108427.138855659</v>
      </c>
      <c r="L335" s="654">
        <f t="shared" si="74"/>
        <v>170544.52433713182</v>
      </c>
      <c r="M335" s="656">
        <f t="shared" si="75"/>
        <v>-16434615.35268598</v>
      </c>
      <c r="N335" s="657">
        <f t="shared" si="81"/>
        <v>-2249525.9873555261</v>
      </c>
      <c r="O335" s="589">
        <f t="shared" si="76"/>
        <v>357</v>
      </c>
      <c r="P335" s="654">
        <f t="shared" si="72"/>
        <v>44901.623509645258</v>
      </c>
      <c r="Q335" s="664">
        <f t="shared" si="73"/>
        <v>1177.6833619782185</v>
      </c>
      <c r="R335" s="654">
        <f t="shared" si="77"/>
        <v>43723.940147667039</v>
      </c>
      <c r="S335" s="656">
        <f t="shared" si="78"/>
        <v>132928.56414906573</v>
      </c>
      <c r="T335" s="657">
        <f t="shared" si="82"/>
        <v>9072299.5817141254</v>
      </c>
      <c r="V335" s="665">
        <f t="shared" si="83"/>
        <v>17215.761971827582</v>
      </c>
      <c r="W335" s="590">
        <f t="shared" si="79"/>
        <v>70393587.860334128</v>
      </c>
      <c r="X335" s="589" t="b">
        <f t="shared" si="80"/>
        <v>1</v>
      </c>
    </row>
    <row r="336" spans="9:24" ht="14.4" hidden="1" customHeight="1">
      <c r="I336" s="589">
        <v>334</v>
      </c>
      <c r="J336" s="654">
        <f t="shared" si="70"/>
        <v>62117.38548147284</v>
      </c>
      <c r="K336" s="655">
        <f t="shared" si="71"/>
        <v>-109564.10235123988</v>
      </c>
      <c r="L336" s="654">
        <f t="shared" si="74"/>
        <v>171681.48783271271</v>
      </c>
      <c r="M336" s="656">
        <f t="shared" si="75"/>
        <v>-16606296.840518693</v>
      </c>
      <c r="N336" s="657">
        <f t="shared" si="81"/>
        <v>-2359090.089706766</v>
      </c>
      <c r="O336" s="589">
        <f t="shared" si="76"/>
        <v>358</v>
      </c>
      <c r="P336" s="654">
        <f t="shared" si="72"/>
        <v>44901.623509645258</v>
      </c>
      <c r="Q336" s="664">
        <f t="shared" si="73"/>
        <v>886.19042766043822</v>
      </c>
      <c r="R336" s="654">
        <f t="shared" si="77"/>
        <v>44015.433081984818</v>
      </c>
      <c r="S336" s="656">
        <f t="shared" si="78"/>
        <v>88913.131067080918</v>
      </c>
      <c r="T336" s="657">
        <f t="shared" si="82"/>
        <v>9073185.7721417863</v>
      </c>
      <c r="V336" s="665">
        <f t="shared" si="83"/>
        <v>17215.761971827582</v>
      </c>
      <c r="W336" s="590">
        <f t="shared" si="79"/>
        <v>71235660.337001368</v>
      </c>
      <c r="X336" s="589" t="b">
        <f t="shared" si="80"/>
        <v>1</v>
      </c>
    </row>
    <row r="337" spans="9:24" ht="14.4" hidden="1" customHeight="1">
      <c r="I337" s="589">
        <v>335</v>
      </c>
      <c r="J337" s="654">
        <f t="shared" si="70"/>
        <v>62117.38548147284</v>
      </c>
      <c r="K337" s="655">
        <f t="shared" si="71"/>
        <v>-110708.64560345796</v>
      </c>
      <c r="L337" s="654">
        <f t="shared" si="74"/>
        <v>172826.03108493082</v>
      </c>
      <c r="M337" s="656">
        <f t="shared" si="75"/>
        <v>-16779122.871603623</v>
      </c>
      <c r="N337" s="657">
        <f t="shared" si="81"/>
        <v>-2469798.7353102239</v>
      </c>
      <c r="O337" s="589">
        <f t="shared" si="76"/>
        <v>359</v>
      </c>
      <c r="P337" s="654">
        <f t="shared" si="72"/>
        <v>44901.623509645258</v>
      </c>
      <c r="Q337" s="664">
        <f t="shared" si="73"/>
        <v>592.75420711387278</v>
      </c>
      <c r="R337" s="654">
        <f t="shared" si="77"/>
        <v>44308.869302531384</v>
      </c>
      <c r="S337" s="656">
        <f t="shared" si="78"/>
        <v>44604.261764549534</v>
      </c>
      <c r="T337" s="657">
        <f t="shared" si="82"/>
        <v>9073778.5263489</v>
      </c>
      <c r="V337" s="665">
        <f t="shared" si="83"/>
        <v>17215.761971827582</v>
      </c>
      <c r="W337" s="590">
        <f t="shared" si="79"/>
        <v>72087597.622773275</v>
      </c>
      <c r="X337" s="589" t="b">
        <f t="shared" si="80"/>
        <v>1</v>
      </c>
    </row>
    <row r="338" spans="9:24" ht="14.4" hidden="1" customHeight="1">
      <c r="I338" s="589">
        <v>336</v>
      </c>
      <c r="J338" s="654">
        <f t="shared" si="70"/>
        <v>62117.38548147284</v>
      </c>
      <c r="K338" s="655">
        <f t="shared" si="71"/>
        <v>-111860.81914402416</v>
      </c>
      <c r="L338" s="654">
        <f t="shared" si="74"/>
        <v>173978.20462549699</v>
      </c>
      <c r="M338" s="656">
        <f t="shared" si="75"/>
        <v>-16953101.076229122</v>
      </c>
      <c r="N338" s="657">
        <f t="shared" si="81"/>
        <v>-2581659.5544542479</v>
      </c>
      <c r="O338" s="589">
        <f t="shared" si="76"/>
        <v>360</v>
      </c>
      <c r="P338" s="654">
        <f t="shared" si="72"/>
        <v>44901.623509645258</v>
      </c>
      <c r="Q338" s="664">
        <f t="shared" si="73"/>
        <v>297.36174509699691</v>
      </c>
      <c r="R338" s="654">
        <f t="shared" si="77"/>
        <v>44604.261764548261</v>
      </c>
      <c r="S338" s="656">
        <f t="shared" si="78"/>
        <v>1.2732925824820995E-9</v>
      </c>
      <c r="T338" s="657">
        <f t="shared" si="82"/>
        <v>9074075.8880939968</v>
      </c>
      <c r="V338" s="665">
        <f t="shared" si="83"/>
        <v>17215.761971827582</v>
      </c>
      <c r="W338" s="590">
        <f t="shared" si="79"/>
        <v>72949515.28306891</v>
      </c>
      <c r="X338" s="589" t="b">
        <f t="shared" si="80"/>
        <v>1</v>
      </c>
    </row>
    <row r="339" spans="9:24" ht="14.4" hidden="1" customHeight="1">
      <c r="I339" s="589">
        <v>337</v>
      </c>
      <c r="J339" s="654">
        <f t="shared" si="70"/>
        <v>62117.38548147284</v>
      </c>
      <c r="K339" s="655">
        <f t="shared" si="71"/>
        <v>-113020.67384152749</v>
      </c>
      <c r="L339" s="654">
        <f t="shared" si="74"/>
        <v>175138.05932300031</v>
      </c>
      <c r="M339" s="656">
        <f t="shared" si="75"/>
        <v>-17128239.135552123</v>
      </c>
      <c r="N339" s="657">
        <f t="shared" si="81"/>
        <v>-2694680.2282957756</v>
      </c>
      <c r="O339" s="589">
        <f t="shared" si="76"/>
        <v>361</v>
      </c>
      <c r="P339" s="654">
        <f t="shared" si="72"/>
        <v>44901.623509645258</v>
      </c>
      <c r="Q339" s="664">
        <f t="shared" si="73"/>
        <v>8.4886172165473308E-12</v>
      </c>
      <c r="R339" s="654">
        <f t="shared" si="77"/>
        <v>44901.623509645251</v>
      </c>
      <c r="S339" s="656">
        <f t="shared" si="78"/>
        <v>-44901.623509643978</v>
      </c>
      <c r="T339" s="657">
        <f t="shared" si="82"/>
        <v>9074075.8880939968</v>
      </c>
      <c r="V339" s="665">
        <f t="shared" si="83"/>
        <v>17215.761971827582</v>
      </c>
      <c r="W339" s="590">
        <f t="shared" si="79"/>
        <v>73821530.237146676</v>
      </c>
      <c r="X339" s="589" t="b">
        <f t="shared" si="80"/>
        <v>1</v>
      </c>
    </row>
    <row r="340" spans="9:24" ht="14.4" hidden="1" customHeight="1">
      <c r="I340" s="589">
        <v>338</v>
      </c>
      <c r="J340" s="654">
        <f t="shared" si="70"/>
        <v>62117.38548147284</v>
      </c>
      <c r="K340" s="655">
        <f t="shared" si="71"/>
        <v>-114188.26090368083</v>
      </c>
      <c r="L340" s="654">
        <f t="shared" si="74"/>
        <v>176305.64638515367</v>
      </c>
      <c r="M340" s="656">
        <f t="shared" si="75"/>
        <v>-17304544.781937275</v>
      </c>
      <c r="N340" s="657">
        <f t="shared" si="81"/>
        <v>-2808868.4891994563</v>
      </c>
      <c r="O340" s="589">
        <f t="shared" si="76"/>
        <v>362</v>
      </c>
      <c r="P340" s="654">
        <f t="shared" si="72"/>
        <v>44901.623509645258</v>
      </c>
      <c r="Q340" s="664">
        <f t="shared" si="73"/>
        <v>-299.34415673095987</v>
      </c>
      <c r="R340" s="654">
        <f t="shared" si="77"/>
        <v>45200.967666376215</v>
      </c>
      <c r="S340" s="656">
        <f t="shared" si="78"/>
        <v>-90102.591176020185</v>
      </c>
      <c r="T340" s="657">
        <f t="shared" si="82"/>
        <v>9073776.5439372659</v>
      </c>
      <c r="V340" s="665">
        <f t="shared" si="83"/>
        <v>17215.761971827582</v>
      </c>
      <c r="W340" s="590">
        <f t="shared" si="79"/>
        <v>74703760.773964331</v>
      </c>
      <c r="X340" s="589" t="b">
        <f t="shared" si="80"/>
        <v>1</v>
      </c>
    </row>
    <row r="341" spans="9:24" ht="14.4" hidden="1" customHeight="1">
      <c r="I341" s="589">
        <v>339</v>
      </c>
      <c r="J341" s="654">
        <f t="shared" si="70"/>
        <v>62117.38548147284</v>
      </c>
      <c r="K341" s="655">
        <f t="shared" si="71"/>
        <v>-115363.63187958184</v>
      </c>
      <c r="L341" s="654">
        <f t="shared" si="74"/>
        <v>177481.01736105466</v>
      </c>
      <c r="M341" s="656">
        <f t="shared" si="75"/>
        <v>-17482025.799298331</v>
      </c>
      <c r="N341" s="657">
        <f t="shared" si="81"/>
        <v>-2924232.1210790379</v>
      </c>
      <c r="O341" s="589">
        <f t="shared" si="76"/>
        <v>363</v>
      </c>
      <c r="P341" s="654">
        <f t="shared" si="72"/>
        <v>44901.623509645258</v>
      </c>
      <c r="Q341" s="664">
        <f t="shared" si="73"/>
        <v>-600.68394117346793</v>
      </c>
      <c r="R341" s="654">
        <f t="shared" si="77"/>
        <v>45502.307450818727</v>
      </c>
      <c r="S341" s="656">
        <f t="shared" si="78"/>
        <v>-135604.89862683893</v>
      </c>
      <c r="T341" s="657">
        <f t="shared" si="82"/>
        <v>9073175.8599960916</v>
      </c>
      <c r="V341" s="665">
        <f t="shared" si="83"/>
        <v>17215.761971827582</v>
      </c>
      <c r="W341" s="590">
        <f t="shared" si="79"/>
        <v>75596326.568224952</v>
      </c>
      <c r="X341" s="589" t="b">
        <f t="shared" si="80"/>
        <v>1</v>
      </c>
    </row>
    <row r="342" spans="9:24" ht="14.4" hidden="1" customHeight="1">
      <c r="I342" s="589">
        <v>340</v>
      </c>
      <c r="J342" s="654">
        <f t="shared" si="70"/>
        <v>62117.38548147284</v>
      </c>
      <c r="K342" s="655">
        <f t="shared" si="71"/>
        <v>-116546.83866198888</v>
      </c>
      <c r="L342" s="654">
        <f t="shared" si="74"/>
        <v>178664.22414346173</v>
      </c>
      <c r="M342" s="656">
        <f t="shared" si="75"/>
        <v>-17660690.023441792</v>
      </c>
      <c r="N342" s="657">
        <f t="shared" si="81"/>
        <v>-3040778.9597410266</v>
      </c>
      <c r="O342" s="589">
        <f t="shared" si="76"/>
        <v>364</v>
      </c>
      <c r="P342" s="654">
        <f t="shared" si="72"/>
        <v>44901.623509645258</v>
      </c>
      <c r="Q342" s="664">
        <f t="shared" si="73"/>
        <v>-904.03265751225956</v>
      </c>
      <c r="R342" s="654">
        <f t="shared" si="77"/>
        <v>45805.656167157518</v>
      </c>
      <c r="S342" s="656">
        <f t="shared" si="78"/>
        <v>-181410.55479399645</v>
      </c>
      <c r="T342" s="657">
        <f t="shared" si="82"/>
        <v>9072271.82733858</v>
      </c>
      <c r="V342" s="665">
        <f t="shared" si="83"/>
        <v>17215.761971827582</v>
      </c>
      <c r="W342" s="590">
        <f t="shared" si="79"/>
        <v>76499348.696610838</v>
      </c>
      <c r="X342" s="589" t="b">
        <f t="shared" si="80"/>
        <v>1</v>
      </c>
    </row>
    <row r="343" spans="9:24" ht="14.4" hidden="1" customHeight="1">
      <c r="I343" s="589">
        <v>341</v>
      </c>
      <c r="J343" s="654">
        <f t="shared" si="70"/>
        <v>62117.38548147284</v>
      </c>
      <c r="K343" s="655">
        <f t="shared" si="71"/>
        <v>-117737.93348961195</v>
      </c>
      <c r="L343" s="654">
        <f t="shared" si="74"/>
        <v>179855.31897108478</v>
      </c>
      <c r="M343" s="656">
        <f t="shared" si="75"/>
        <v>-17840545.342412878</v>
      </c>
      <c r="N343" s="657">
        <f t="shared" si="81"/>
        <v>-3158516.8932306385</v>
      </c>
      <c r="O343" s="589">
        <f t="shared" si="76"/>
        <v>365</v>
      </c>
      <c r="P343" s="654">
        <f t="shared" si="72"/>
        <v>44901.623509645258</v>
      </c>
      <c r="Q343" s="664">
        <f t="shared" si="73"/>
        <v>-1209.4036986266431</v>
      </c>
      <c r="R343" s="654">
        <f t="shared" si="77"/>
        <v>46111.027208271902</v>
      </c>
      <c r="S343" s="656">
        <f t="shared" si="78"/>
        <v>-227521.58200226835</v>
      </c>
      <c r="T343" s="657">
        <f t="shared" si="82"/>
        <v>9071062.4236399531</v>
      </c>
      <c r="V343" s="665">
        <f t="shared" si="83"/>
        <v>17215.761971827582</v>
      </c>
      <c r="W343" s="590">
        <f t="shared" si="79"/>
        <v>77412949.654207557</v>
      </c>
      <c r="X343" s="589" t="b">
        <f t="shared" si="80"/>
        <v>1</v>
      </c>
    </row>
    <row r="344" spans="9:24" ht="14.4" hidden="1" customHeight="1">
      <c r="I344" s="589">
        <v>342</v>
      </c>
      <c r="J344" s="654">
        <f t="shared" si="70"/>
        <v>62117.38548147284</v>
      </c>
      <c r="K344" s="655">
        <f t="shared" si="71"/>
        <v>-118936.9689494192</v>
      </c>
      <c r="L344" s="654">
        <f t="shared" si="74"/>
        <v>181054.35443089204</v>
      </c>
      <c r="M344" s="656">
        <f t="shared" si="75"/>
        <v>-18021599.696843769</v>
      </c>
      <c r="N344" s="657">
        <f t="shared" si="81"/>
        <v>-3277453.8621800574</v>
      </c>
      <c r="O344" s="589">
        <f t="shared" si="76"/>
        <v>366</v>
      </c>
      <c r="P344" s="654">
        <f t="shared" si="72"/>
        <v>44901.623509645258</v>
      </c>
      <c r="Q344" s="664">
        <f t="shared" si="73"/>
        <v>-1516.810546681789</v>
      </c>
      <c r="R344" s="654">
        <f t="shared" si="77"/>
        <v>46418.434056327045</v>
      </c>
      <c r="S344" s="656">
        <f t="shared" si="78"/>
        <v>-273940.01605859539</v>
      </c>
      <c r="T344" s="657">
        <f t="shared" si="82"/>
        <v>9069545.6130932719</v>
      </c>
      <c r="V344" s="665">
        <f t="shared" si="83"/>
        <v>17215.761971827582</v>
      </c>
      <c r="W344" s="590">
        <f t="shared" si="79"/>
        <v>78337253.371120423</v>
      </c>
      <c r="X344" s="589" t="b">
        <f t="shared" si="80"/>
        <v>1</v>
      </c>
    </row>
    <row r="345" spans="9:24" ht="14.4" hidden="1" customHeight="1">
      <c r="I345" s="589">
        <v>343</v>
      </c>
      <c r="J345" s="654">
        <f t="shared" si="70"/>
        <v>62117.38548147284</v>
      </c>
      <c r="K345" s="655">
        <f t="shared" si="71"/>
        <v>-120143.99797895848</v>
      </c>
      <c r="L345" s="654">
        <f t="shared" si="74"/>
        <v>182261.3834604313</v>
      </c>
      <c r="M345" s="656">
        <f t="shared" si="75"/>
        <v>-18203861.080304202</v>
      </c>
      <c r="N345" s="657">
        <f t="shared" si="81"/>
        <v>-3397597.8601590157</v>
      </c>
      <c r="O345" s="589">
        <f t="shared" si="76"/>
        <v>367</v>
      </c>
      <c r="P345" s="654">
        <f t="shared" si="72"/>
        <v>44901.623509645258</v>
      </c>
      <c r="Q345" s="664">
        <f t="shared" si="73"/>
        <v>-1826.2667737239694</v>
      </c>
      <c r="R345" s="654">
        <f t="shared" si="77"/>
        <v>46727.890283369226</v>
      </c>
      <c r="S345" s="656">
        <f t="shared" si="78"/>
        <v>-320667.90634196461</v>
      </c>
      <c r="T345" s="657">
        <f t="shared" si="82"/>
        <v>9067719.3463195488</v>
      </c>
      <c r="V345" s="665">
        <f t="shared" si="83"/>
        <v>17215.761971827582</v>
      </c>
      <c r="W345" s="590">
        <f t="shared" si="79"/>
        <v>79272385.229285643</v>
      </c>
      <c r="X345" s="589" t="b">
        <f t="shared" si="80"/>
        <v>1</v>
      </c>
    </row>
    <row r="346" spans="9:24" ht="14.4" hidden="1" customHeight="1">
      <c r="I346" s="589">
        <v>344</v>
      </c>
      <c r="J346" s="654">
        <f t="shared" si="70"/>
        <v>62117.38548147284</v>
      </c>
      <c r="K346" s="655">
        <f t="shared" si="71"/>
        <v>-121359.07386869469</v>
      </c>
      <c r="L346" s="654">
        <f t="shared" si="74"/>
        <v>183476.45935016754</v>
      </c>
      <c r="M346" s="656">
        <f t="shared" si="75"/>
        <v>-18387337.53965437</v>
      </c>
      <c r="N346" s="657">
        <f t="shared" si="81"/>
        <v>-3518956.9340277105</v>
      </c>
      <c r="O346" s="589">
        <f t="shared" si="76"/>
        <v>368</v>
      </c>
      <c r="P346" s="654">
        <f t="shared" si="72"/>
        <v>44901.623509645258</v>
      </c>
      <c r="Q346" s="664">
        <f t="shared" si="73"/>
        <v>-2137.7860422797644</v>
      </c>
      <c r="R346" s="654">
        <f t="shared" si="77"/>
        <v>47039.409551925026</v>
      </c>
      <c r="S346" s="656">
        <f t="shared" si="78"/>
        <v>-367707.31589388964</v>
      </c>
      <c r="T346" s="657">
        <f t="shared" si="82"/>
        <v>9065581.5602772683</v>
      </c>
      <c r="V346" s="665">
        <f t="shared" si="83"/>
        <v>17215.761971827582</v>
      </c>
      <c r="W346" s="590">
        <f t="shared" si="79"/>
        <v>80218472.079478368</v>
      </c>
      <c r="X346" s="589" t="b">
        <f t="shared" si="80"/>
        <v>1</v>
      </c>
    </row>
    <row r="347" spans="9:24" ht="14.4" hidden="1" customHeight="1">
      <c r="I347" s="589">
        <v>345</v>
      </c>
      <c r="J347" s="654">
        <f t="shared" si="70"/>
        <v>62117.38548147284</v>
      </c>
      <c r="K347" s="655">
        <f t="shared" si="71"/>
        <v>-122582.25026436248</v>
      </c>
      <c r="L347" s="654">
        <f t="shared" si="74"/>
        <v>184699.63574583532</v>
      </c>
      <c r="M347" s="656">
        <f t="shared" si="75"/>
        <v>-18572037.175400205</v>
      </c>
      <c r="N347" s="657">
        <f t="shared" si="81"/>
        <v>-3641539.1842920729</v>
      </c>
      <c r="O347" s="589">
        <f t="shared" si="76"/>
        <v>369</v>
      </c>
      <c r="P347" s="654">
        <f t="shared" si="72"/>
        <v>44901.623509645258</v>
      </c>
      <c r="Q347" s="664">
        <f t="shared" si="73"/>
        <v>-2451.3821059592642</v>
      </c>
      <c r="R347" s="654">
        <f t="shared" si="77"/>
        <v>47353.005615604525</v>
      </c>
      <c r="S347" s="656">
        <f t="shared" si="78"/>
        <v>-415060.32150949416</v>
      </c>
      <c r="T347" s="657">
        <f t="shared" si="82"/>
        <v>9063130.1781713087</v>
      </c>
      <c r="V347" s="665">
        <f t="shared" si="83"/>
        <v>17215.761971827582</v>
      </c>
      <c r="W347" s="590">
        <f t="shared" si="79"/>
        <v>81175642.258520067</v>
      </c>
      <c r="X347" s="589" t="b">
        <f t="shared" si="80"/>
        <v>1</v>
      </c>
    </row>
    <row r="348" spans="9:24" ht="14.4" hidden="1" customHeight="1">
      <c r="I348" s="589">
        <v>346</v>
      </c>
      <c r="J348" s="654">
        <f t="shared" si="70"/>
        <v>62117.38548147284</v>
      </c>
      <c r="K348" s="655">
        <f t="shared" si="71"/>
        <v>-123813.58116933471</v>
      </c>
      <c r="L348" s="654">
        <f t="shared" si="74"/>
        <v>185930.96665080753</v>
      </c>
      <c r="M348" s="656">
        <f t="shared" si="75"/>
        <v>-18757968.142051011</v>
      </c>
      <c r="N348" s="657">
        <f t="shared" si="81"/>
        <v>-3765352.7654614076</v>
      </c>
      <c r="O348" s="589">
        <f t="shared" si="76"/>
        <v>370</v>
      </c>
      <c r="P348" s="654">
        <f t="shared" si="72"/>
        <v>44901.623509645258</v>
      </c>
      <c r="Q348" s="664">
        <f t="shared" si="73"/>
        <v>-2767.0688100632947</v>
      </c>
      <c r="R348" s="654">
        <f t="shared" si="77"/>
        <v>47668.692319708556</v>
      </c>
      <c r="S348" s="656">
        <f t="shared" si="78"/>
        <v>-462729.01382920274</v>
      </c>
      <c r="T348" s="657">
        <f t="shared" si="82"/>
        <v>9060363.1093612462</v>
      </c>
      <c r="V348" s="665">
        <f t="shared" si="83"/>
        <v>17215.761971827582</v>
      </c>
      <c r="W348" s="590">
        <f t="shared" si="79"/>
        <v>82144025.606687397</v>
      </c>
      <c r="X348" s="589" t="b">
        <f t="shared" si="80"/>
        <v>1</v>
      </c>
    </row>
    <row r="349" spans="9:24" ht="14.4" hidden="1" customHeight="1">
      <c r="I349" s="589">
        <v>347</v>
      </c>
      <c r="J349" s="654">
        <f t="shared" si="70"/>
        <v>62117.38548147284</v>
      </c>
      <c r="K349" s="655">
        <f t="shared" si="71"/>
        <v>-125053.12094700676</v>
      </c>
      <c r="L349" s="654">
        <f t="shared" si="74"/>
        <v>187170.5064284796</v>
      </c>
      <c r="M349" s="656">
        <f t="shared" si="75"/>
        <v>-18945138.648479491</v>
      </c>
      <c r="N349" s="657">
        <f t="shared" si="81"/>
        <v>-3890405.8864084142</v>
      </c>
      <c r="O349" s="589">
        <f t="shared" si="76"/>
        <v>371</v>
      </c>
      <c r="P349" s="654">
        <f t="shared" si="72"/>
        <v>44901.623509645258</v>
      </c>
      <c r="Q349" s="664">
        <f t="shared" si="73"/>
        <v>-3084.860092194685</v>
      </c>
      <c r="R349" s="654">
        <f t="shared" si="77"/>
        <v>47986.483601839944</v>
      </c>
      <c r="S349" s="656">
        <f t="shared" si="78"/>
        <v>-510715.49743104266</v>
      </c>
      <c r="T349" s="657">
        <f t="shared" si="82"/>
        <v>9057278.2492690515</v>
      </c>
      <c r="V349" s="665">
        <f t="shared" si="83"/>
        <v>17215.761971827582</v>
      </c>
      <c r="W349" s="590">
        <f t="shared" si="79"/>
        <v>83123753.485325083</v>
      </c>
      <c r="X349" s="589" t="b">
        <f t="shared" si="80"/>
        <v>1</v>
      </c>
    </row>
    <row r="350" spans="9:24" ht="14.4" hidden="1" customHeight="1">
      <c r="I350" s="589">
        <v>348</v>
      </c>
      <c r="J350" s="654">
        <f t="shared" si="70"/>
        <v>62117.38548147284</v>
      </c>
      <c r="K350" s="655">
        <f t="shared" si="71"/>
        <v>-126300.92432319662</v>
      </c>
      <c r="L350" s="654">
        <f t="shared" si="74"/>
        <v>188418.30980466946</v>
      </c>
      <c r="M350" s="656">
        <f t="shared" si="75"/>
        <v>-19133556.958284162</v>
      </c>
      <c r="N350" s="657">
        <f t="shared" si="81"/>
        <v>-4016706.8107316107</v>
      </c>
      <c r="O350" s="589">
        <f t="shared" si="76"/>
        <v>372</v>
      </c>
      <c r="P350" s="654">
        <f t="shared" si="72"/>
        <v>44901.623509645258</v>
      </c>
      <c r="Q350" s="664">
        <f t="shared" si="73"/>
        <v>-3404.7699828736181</v>
      </c>
      <c r="R350" s="654">
        <f t="shared" si="77"/>
        <v>48306.393492518873</v>
      </c>
      <c r="S350" s="656">
        <f t="shared" si="78"/>
        <v>-559021.89092356153</v>
      </c>
      <c r="T350" s="657">
        <f t="shared" si="82"/>
        <v>9053873.4792861771</v>
      </c>
      <c r="V350" s="665">
        <f t="shared" si="83"/>
        <v>17215.761971827582</v>
      </c>
      <c r="W350" s="590">
        <f t="shared" si="79"/>
        <v>84114958.794665068</v>
      </c>
      <c r="X350" s="589" t="b">
        <f t="shared" si="80"/>
        <v>1</v>
      </c>
    </row>
    <row r="351" spans="9:24" ht="14.4" hidden="1" customHeight="1">
      <c r="I351" s="589">
        <v>349</v>
      </c>
      <c r="J351" s="654">
        <f t="shared" si="70"/>
        <v>62117.38548147284</v>
      </c>
      <c r="K351" s="655">
        <f t="shared" si="71"/>
        <v>-127557.0463885611</v>
      </c>
      <c r="L351" s="654">
        <f t="shared" si="74"/>
        <v>189674.43187003394</v>
      </c>
      <c r="M351" s="656">
        <f t="shared" si="75"/>
        <v>-19323231.390154194</v>
      </c>
      <c r="N351" s="657">
        <f t="shared" si="81"/>
        <v>-4144263.8571201717</v>
      </c>
      <c r="O351" s="589">
        <f t="shared" si="76"/>
        <v>373</v>
      </c>
      <c r="P351" s="654">
        <f t="shared" si="72"/>
        <v>44901.623509645258</v>
      </c>
      <c r="Q351" s="664">
        <f t="shared" si="73"/>
        <v>-3726.812606157077</v>
      </c>
      <c r="R351" s="654">
        <f t="shared" si="77"/>
        <v>48628.436115802338</v>
      </c>
      <c r="S351" s="656">
        <f t="shared" si="78"/>
        <v>-607650.32703936391</v>
      </c>
      <c r="T351" s="657">
        <f t="shared" si="82"/>
        <v>9050146.6666800193</v>
      </c>
      <c r="V351" s="665">
        <f t="shared" si="83"/>
        <v>17215.761971827582</v>
      </c>
      <c r="W351" s="590">
        <f t="shared" si="79"/>
        <v>85117775.991854489</v>
      </c>
      <c r="X351" s="589" t="b">
        <f t="shared" si="80"/>
        <v>1</v>
      </c>
    </row>
    <row r="352" spans="9:24" ht="14.4" hidden="1" customHeight="1">
      <c r="I352" s="589">
        <v>350</v>
      </c>
      <c r="J352" s="654">
        <f t="shared" si="70"/>
        <v>62117.38548147284</v>
      </c>
      <c r="K352" s="655">
        <f t="shared" si="71"/>
        <v>-128821.54260102796</v>
      </c>
      <c r="L352" s="654">
        <f t="shared" si="74"/>
        <v>190938.92808250082</v>
      </c>
      <c r="M352" s="656">
        <f t="shared" si="75"/>
        <v>-19514170.318236694</v>
      </c>
      <c r="N352" s="657">
        <f t="shared" si="81"/>
        <v>-4273085.3997211996</v>
      </c>
      <c r="O352" s="589">
        <f t="shared" si="76"/>
        <v>374</v>
      </c>
      <c r="P352" s="654">
        <f t="shared" si="72"/>
        <v>44901.623509645258</v>
      </c>
      <c r="Q352" s="664">
        <f t="shared" si="73"/>
        <v>-4051.0021802624265</v>
      </c>
      <c r="R352" s="654">
        <f t="shared" si="77"/>
        <v>48952.625689907683</v>
      </c>
      <c r="S352" s="656">
        <f t="shared" si="78"/>
        <v>-656602.95272927161</v>
      </c>
      <c r="T352" s="657">
        <f t="shared" si="82"/>
        <v>9046095.6644997578</v>
      </c>
      <c r="V352" s="665">
        <f t="shared" si="83"/>
        <v>17215.761971827582</v>
      </c>
      <c r="W352" s="590">
        <f t="shared" si="79"/>
        <v>86132341.109194785</v>
      </c>
      <c r="X352" s="589" t="b">
        <f t="shared" si="80"/>
        <v>1</v>
      </c>
    </row>
    <row r="353" spans="9:24" ht="14.4" hidden="1" customHeight="1">
      <c r="I353" s="589">
        <v>351</v>
      </c>
      <c r="J353" s="654">
        <f t="shared" si="70"/>
        <v>62117.38548147284</v>
      </c>
      <c r="K353" s="655">
        <f t="shared" si="71"/>
        <v>-130094.46878824463</v>
      </c>
      <c r="L353" s="654">
        <f t="shared" si="74"/>
        <v>192211.85426971747</v>
      </c>
      <c r="M353" s="656">
        <f t="shared" si="75"/>
        <v>-19706382.172506411</v>
      </c>
      <c r="N353" s="657">
        <f t="shared" si="81"/>
        <v>-4403179.8685094444</v>
      </c>
      <c r="O353" s="589">
        <f t="shared" si="76"/>
        <v>375</v>
      </c>
      <c r="P353" s="654">
        <f t="shared" si="72"/>
        <v>44901.623509645258</v>
      </c>
      <c r="Q353" s="664">
        <f t="shared" si="73"/>
        <v>-4377.3530181951446</v>
      </c>
      <c r="R353" s="654">
        <f t="shared" si="77"/>
        <v>49278.976527840401</v>
      </c>
      <c r="S353" s="656">
        <f t="shared" si="78"/>
        <v>-705881.92925711197</v>
      </c>
      <c r="T353" s="657">
        <f t="shared" si="82"/>
        <v>9041718.3114815634</v>
      </c>
      <c r="V353" s="665">
        <f t="shared" si="83"/>
        <v>17215.761971827582</v>
      </c>
      <c r="W353" s="590">
        <f t="shared" si="79"/>
        <v>87158791.772594512</v>
      </c>
      <c r="X353" s="589" t="b">
        <f t="shared" si="80"/>
        <v>1</v>
      </c>
    </row>
    <row r="354" spans="9:24" ht="14.4" hidden="1" customHeight="1">
      <c r="I354" s="589">
        <v>352</v>
      </c>
      <c r="J354" s="654">
        <f t="shared" si="70"/>
        <v>62117.38548147284</v>
      </c>
      <c r="K354" s="655">
        <f t="shared" si="71"/>
        <v>-131375.88115004275</v>
      </c>
      <c r="L354" s="654">
        <f t="shared" si="74"/>
        <v>193493.26663151558</v>
      </c>
      <c r="M354" s="656">
        <f t="shared" si="75"/>
        <v>-19899875.439137924</v>
      </c>
      <c r="N354" s="657">
        <f t="shared" si="81"/>
        <v>-4534555.749659487</v>
      </c>
      <c r="O354" s="589">
        <f t="shared" si="76"/>
        <v>376</v>
      </c>
      <c r="P354" s="654">
        <f t="shared" si="72"/>
        <v>44901.623509645258</v>
      </c>
      <c r="Q354" s="664">
        <f t="shared" si="73"/>
        <v>-4705.8795283807467</v>
      </c>
      <c r="R354" s="654">
        <f t="shared" si="77"/>
        <v>49607.503038026007</v>
      </c>
      <c r="S354" s="656">
        <f t="shared" si="78"/>
        <v>-755489.43229513802</v>
      </c>
      <c r="T354" s="657">
        <f t="shared" si="82"/>
        <v>9037012.4319531824</v>
      </c>
      <c r="V354" s="665">
        <f t="shared" si="83"/>
        <v>17215.761971827582</v>
      </c>
      <c r="W354" s="590">
        <f t="shared" si="79"/>
        <v>88197267.220238283</v>
      </c>
      <c r="X354" s="589" t="b">
        <f t="shared" si="80"/>
        <v>1</v>
      </c>
    </row>
    <row r="355" spans="9:24" ht="14.4" hidden="1" customHeight="1">
      <c r="I355" s="589">
        <v>353</v>
      </c>
      <c r="J355" s="654">
        <f t="shared" si="70"/>
        <v>62117.38548147284</v>
      </c>
      <c r="K355" s="655">
        <f t="shared" si="71"/>
        <v>-132665.83626091952</v>
      </c>
      <c r="L355" s="654">
        <f t="shared" si="74"/>
        <v>194783.22174239234</v>
      </c>
      <c r="M355" s="656">
        <f t="shared" si="75"/>
        <v>-20094658.660880316</v>
      </c>
      <c r="N355" s="657">
        <f t="shared" si="81"/>
        <v>-4667221.5859204065</v>
      </c>
      <c r="O355" s="589">
        <f t="shared" si="76"/>
        <v>377</v>
      </c>
      <c r="P355" s="654">
        <f t="shared" si="72"/>
        <v>44901.623509645258</v>
      </c>
      <c r="Q355" s="664">
        <f t="shared" si="73"/>
        <v>-5036.5962153009204</v>
      </c>
      <c r="R355" s="654">
        <f t="shared" si="77"/>
        <v>49938.219724946175</v>
      </c>
      <c r="S355" s="656">
        <f t="shared" si="78"/>
        <v>-805427.65202008421</v>
      </c>
      <c r="T355" s="657">
        <f t="shared" si="82"/>
        <v>9031975.8357378822</v>
      </c>
      <c r="V355" s="665">
        <f t="shared" si="83"/>
        <v>17215.761971827582</v>
      </c>
      <c r="W355" s="590">
        <f t="shared" si="79"/>
        <v>89247908.321474522</v>
      </c>
      <c r="X355" s="589" t="b">
        <f t="shared" si="80"/>
        <v>1</v>
      </c>
    </row>
    <row r="356" spans="9:24" ht="14.4" hidden="1" customHeight="1">
      <c r="I356" s="589">
        <v>354</v>
      </c>
      <c r="J356" s="654">
        <f t="shared" si="70"/>
        <v>62117.38548147284</v>
      </c>
      <c r="K356" s="655">
        <f t="shared" si="71"/>
        <v>-133964.39107253545</v>
      </c>
      <c r="L356" s="654">
        <f t="shared" si="74"/>
        <v>196081.77655400831</v>
      </c>
      <c r="M356" s="656">
        <f t="shared" si="75"/>
        <v>-20290740.437434323</v>
      </c>
      <c r="N356" s="657">
        <f t="shared" si="81"/>
        <v>-4801185.9769929424</v>
      </c>
      <c r="O356" s="589">
        <f t="shared" si="76"/>
        <v>378</v>
      </c>
      <c r="P356" s="654">
        <f t="shared" si="72"/>
        <v>44901.623509645258</v>
      </c>
      <c r="Q356" s="664">
        <f t="shared" si="73"/>
        <v>-5369.5176801338948</v>
      </c>
      <c r="R356" s="654">
        <f t="shared" si="77"/>
        <v>50271.141189779155</v>
      </c>
      <c r="S356" s="656">
        <f t="shared" si="78"/>
        <v>-855698.79320986336</v>
      </c>
      <c r="T356" s="657">
        <f t="shared" si="82"/>
        <v>9026606.3180577476</v>
      </c>
      <c r="V356" s="665">
        <f t="shared" si="83"/>
        <v>17215.761971827582</v>
      </c>
      <c r="W356" s="590">
        <f t="shared" si="79"/>
        <v>90310857.595924318</v>
      </c>
      <c r="X356" s="589" t="b">
        <f t="shared" si="80"/>
        <v>1</v>
      </c>
    </row>
    <row r="357" spans="9:24" ht="14.4" hidden="1" customHeight="1">
      <c r="I357" s="589">
        <v>355</v>
      </c>
      <c r="J357" s="654">
        <f t="shared" si="70"/>
        <v>62117.38548147284</v>
      </c>
      <c r="K357" s="655">
        <f t="shared" si="71"/>
        <v>-135271.60291622882</v>
      </c>
      <c r="L357" s="654">
        <f t="shared" si="74"/>
        <v>197388.98839770164</v>
      </c>
      <c r="M357" s="656">
        <f t="shared" si="75"/>
        <v>-20488129.425832026</v>
      </c>
      <c r="N357" s="657">
        <f t="shared" si="81"/>
        <v>-4936457.579909171</v>
      </c>
      <c r="O357" s="589">
        <f t="shared" si="76"/>
        <v>379</v>
      </c>
      <c r="P357" s="654">
        <f t="shared" si="72"/>
        <v>44901.623509645258</v>
      </c>
      <c r="Q357" s="664">
        <f t="shared" si="73"/>
        <v>-5704.6586213990895</v>
      </c>
      <c r="R357" s="654">
        <f t="shared" si="77"/>
        <v>50606.282131044347</v>
      </c>
      <c r="S357" s="656">
        <f t="shared" si="78"/>
        <v>-906305.07534090767</v>
      </c>
      <c r="T357" s="657">
        <f t="shared" si="82"/>
        <v>9020901.6594363488</v>
      </c>
      <c r="V357" s="665">
        <f t="shared" si="83"/>
        <v>17215.761971827582</v>
      </c>
      <c r="W357" s="590">
        <f t="shared" si="79"/>
        <v>91386259.232814312</v>
      </c>
      <c r="X357" s="589" t="b">
        <f t="shared" si="80"/>
        <v>1</v>
      </c>
    </row>
    <row r="358" spans="9:24" ht="14.4" hidden="1" customHeight="1">
      <c r="I358" s="589">
        <v>356</v>
      </c>
      <c r="J358" s="654">
        <f t="shared" si="70"/>
        <v>62117.38548147284</v>
      </c>
      <c r="K358" s="655">
        <f t="shared" si="71"/>
        <v>-136587.52950554685</v>
      </c>
      <c r="L358" s="654">
        <f t="shared" si="74"/>
        <v>198704.91498701967</v>
      </c>
      <c r="M358" s="656">
        <f t="shared" si="75"/>
        <v>-20686834.340819046</v>
      </c>
      <c r="N358" s="657">
        <f t="shared" si="81"/>
        <v>-5073045.1094147181</v>
      </c>
      <c r="O358" s="589">
        <f t="shared" si="76"/>
        <v>380</v>
      </c>
      <c r="P358" s="654">
        <f t="shared" si="72"/>
        <v>44901.623509645258</v>
      </c>
      <c r="Q358" s="664">
        <f t="shared" si="73"/>
        <v>-6042.033835606052</v>
      </c>
      <c r="R358" s="654">
        <f t="shared" si="77"/>
        <v>50943.657345251311</v>
      </c>
      <c r="S358" s="656">
        <f t="shared" si="78"/>
        <v>-957248.73268615897</v>
      </c>
      <c r="T358" s="657">
        <f t="shared" si="82"/>
        <v>9014859.6256007422</v>
      </c>
      <c r="V358" s="665">
        <f t="shared" si="83"/>
        <v>17215.761971827582</v>
      </c>
      <c r="W358" s="590">
        <f t="shared" si="79"/>
        <v>92474259.110535949</v>
      </c>
      <c r="X358" s="589" t="b">
        <f t="shared" si="80"/>
        <v>1</v>
      </c>
    </row>
    <row r="359" spans="9:24" ht="14.4" hidden="1" customHeight="1">
      <c r="I359" s="589">
        <v>357</v>
      </c>
      <c r="J359" s="654">
        <f t="shared" si="70"/>
        <v>62117.38548147284</v>
      </c>
      <c r="K359" s="655">
        <f t="shared" si="71"/>
        <v>-137912.22893879365</v>
      </c>
      <c r="L359" s="654">
        <f t="shared" si="74"/>
        <v>200029.61442026647</v>
      </c>
      <c r="M359" s="656">
        <f t="shared" si="75"/>
        <v>-20886863.955239311</v>
      </c>
      <c r="N359" s="657">
        <f t="shared" si="81"/>
        <v>-5210957.3383535119</v>
      </c>
      <c r="O359" s="589">
        <f t="shared" si="76"/>
        <v>381</v>
      </c>
      <c r="P359" s="654">
        <f t="shared" si="72"/>
        <v>44901.623509645258</v>
      </c>
      <c r="Q359" s="664">
        <f t="shared" si="73"/>
        <v>-6381.6582179077268</v>
      </c>
      <c r="R359" s="654">
        <f t="shared" si="77"/>
        <v>51283.281727552981</v>
      </c>
      <c r="S359" s="656">
        <f t="shared" si="78"/>
        <v>-1008532.014413712</v>
      </c>
      <c r="T359" s="657">
        <f t="shared" si="82"/>
        <v>9008477.9673828352</v>
      </c>
      <c r="V359" s="665">
        <f t="shared" si="83"/>
        <v>17215.761971827582</v>
      </c>
      <c r="W359" s="590">
        <f t="shared" si="79"/>
        <v>93575004.816433907</v>
      </c>
      <c r="X359" s="589" t="b">
        <f t="shared" si="80"/>
        <v>1</v>
      </c>
    </row>
    <row r="360" spans="9:24" ht="14.4" hidden="1" customHeight="1">
      <c r="I360" s="589">
        <v>358</v>
      </c>
      <c r="J360" s="654">
        <f t="shared" si="70"/>
        <v>62117.38548147284</v>
      </c>
      <c r="K360" s="655">
        <f t="shared" si="71"/>
        <v>-139245.75970159541</v>
      </c>
      <c r="L360" s="654">
        <f t="shared" si="74"/>
        <v>201363.14518306823</v>
      </c>
      <c r="M360" s="656">
        <f t="shared" si="75"/>
        <v>-21088227.100422379</v>
      </c>
      <c r="N360" s="657">
        <f t="shared" si="81"/>
        <v>-5350203.0980551075</v>
      </c>
      <c r="O360" s="589">
        <f t="shared" si="76"/>
        <v>382</v>
      </c>
      <c r="P360" s="654">
        <f t="shared" si="72"/>
        <v>44901.623509645258</v>
      </c>
      <c r="Q360" s="664">
        <f t="shared" si="73"/>
        <v>-6723.5467627580801</v>
      </c>
      <c r="R360" s="654">
        <f t="shared" si="77"/>
        <v>51625.170272403338</v>
      </c>
      <c r="S360" s="656">
        <f t="shared" si="78"/>
        <v>-1060157.1846861152</v>
      </c>
      <c r="T360" s="657">
        <f t="shared" si="82"/>
        <v>9001754.4206200764</v>
      </c>
      <c r="V360" s="665">
        <f t="shared" si="83"/>
        <v>17215.761971827582</v>
      </c>
      <c r="W360" s="590">
        <f t="shared" si="79"/>
        <v>94688645.666826338</v>
      </c>
      <c r="X360" s="589" t="b">
        <f t="shared" si="80"/>
        <v>1</v>
      </c>
    </row>
    <row r="361" spans="9:24" ht="14.4" hidden="1" customHeight="1">
      <c r="I361" s="589">
        <v>359</v>
      </c>
      <c r="J361" s="654">
        <f t="shared" si="70"/>
        <v>62117.38548147284</v>
      </c>
      <c r="K361" s="655">
        <f t="shared" si="71"/>
        <v>-140588.18066948254</v>
      </c>
      <c r="L361" s="654">
        <f t="shared" si="74"/>
        <v>202705.56615095539</v>
      </c>
      <c r="M361" s="656">
        <f t="shared" si="75"/>
        <v>-21290932.666573334</v>
      </c>
      <c r="N361" s="657">
        <f t="shared" si="81"/>
        <v>-5490791.2787245903</v>
      </c>
      <c r="O361" s="589">
        <f t="shared" si="76"/>
        <v>383</v>
      </c>
      <c r="P361" s="654">
        <f t="shared" si="72"/>
        <v>44901.623509645258</v>
      </c>
      <c r="Q361" s="664">
        <f t="shared" si="73"/>
        <v>-7067.714564574102</v>
      </c>
      <c r="R361" s="654">
        <f t="shared" si="77"/>
        <v>51969.338074219362</v>
      </c>
      <c r="S361" s="656">
        <f t="shared" si="78"/>
        <v>-1112126.5227603347</v>
      </c>
      <c r="T361" s="657">
        <f t="shared" si="82"/>
        <v>8994686.7060555015</v>
      </c>
      <c r="V361" s="665">
        <f t="shared" si="83"/>
        <v>17215.761971827582</v>
      </c>
      <c r="W361" s="590">
        <f t="shared" si="79"/>
        <v>95815332.727259681</v>
      </c>
      <c r="X361" s="589" t="b">
        <f t="shared" si="80"/>
        <v>1</v>
      </c>
    </row>
    <row r="362" spans="9:24" ht="14.4" hidden="1" customHeight="1">
      <c r="I362" s="589">
        <v>360</v>
      </c>
      <c r="J362" s="654">
        <f t="shared" si="70"/>
        <v>62117.38548147284</v>
      </c>
      <c r="K362" s="655">
        <f t="shared" si="71"/>
        <v>-141939.55111048892</v>
      </c>
      <c r="L362" s="654">
        <f t="shared" si="74"/>
        <v>204056.93659196177</v>
      </c>
      <c r="M362" s="656">
        <f t="shared" si="75"/>
        <v>-21494989.603165295</v>
      </c>
      <c r="N362" s="657">
        <f t="shared" si="81"/>
        <v>-5632730.8298350796</v>
      </c>
      <c r="O362" s="589">
        <f t="shared" si="76"/>
        <v>384</v>
      </c>
      <c r="P362" s="654">
        <f t="shared" si="72"/>
        <v>44901.623509645258</v>
      </c>
      <c r="Q362" s="664">
        <f t="shared" si="73"/>
        <v>-7414.1768184022312</v>
      </c>
      <c r="R362" s="654">
        <f t="shared" si="77"/>
        <v>52315.800328047488</v>
      </c>
      <c r="S362" s="656">
        <f t="shared" si="78"/>
        <v>-1164442.3230883821</v>
      </c>
      <c r="T362" s="657">
        <f t="shared" si="82"/>
        <v>8987272.529237099</v>
      </c>
      <c r="V362" s="665">
        <f t="shared" si="83"/>
        <v>17215.761971827582</v>
      </c>
      <c r="W362" s="590">
        <f t="shared" si="79"/>
        <v>96955218.833000675</v>
      </c>
      <c r="X362" s="589" t="b">
        <f t="shared" si="80"/>
        <v>1</v>
      </c>
    </row>
    <row r="363" spans="9:24" ht="14.4" hidden="1" customHeight="1">
      <c r="J363" s="654"/>
      <c r="K363" s="655"/>
      <c r="L363" s="654"/>
      <c r="M363" s="656"/>
      <c r="N363" s="657"/>
      <c r="P363" s="654"/>
      <c r="Q363" s="664"/>
      <c r="R363" s="654"/>
      <c r="S363" s="656"/>
      <c r="T363" s="657"/>
    </row>
    <row r="364" spans="9:24" ht="14.4" hidden="1" customHeight="1">
      <c r="J364" s="654"/>
      <c r="K364" s="655"/>
      <c r="L364" s="654"/>
      <c r="M364" s="656"/>
      <c r="N364" s="657"/>
      <c r="P364" s="654"/>
      <c r="Q364" s="664"/>
      <c r="R364" s="654"/>
      <c r="S364" s="656"/>
      <c r="T364" s="657"/>
    </row>
  </sheetData>
  <sheetProtection algorithmName="SHA-512" hashValue="Z4QORN61CbnR/2zp6Z2rKmqZ/5RemOW8SJevJPjkfrseTXiuUSfY/svKY7TyJg3+rngOPBvGDMMnDQKWMUJ2hA==" saltValue="+D6V47AntswRoObIwUyfsQ==" spinCount="100000" sheet="1" objects="1"/>
  <mergeCells count="4">
    <mergeCell ref="E4:F4"/>
    <mergeCell ref="E10:F10"/>
    <mergeCell ref="B19:F19"/>
    <mergeCell ref="A1:G2"/>
  </mergeCells>
  <dataValidations count="2">
    <dataValidation type="whole" allowBlank="1" showInputMessage="1" showErrorMessage="1" errorTitle="Alert!" error="Tenure of loan can be maximum 25 years" sqref="C7" xr:uid="{00000000-0002-0000-0400-000000000000}">
      <formula1>1</formula1>
      <formula2>25</formula2>
    </dataValidation>
    <dataValidation type="whole" operator="lessThanOrEqual" allowBlank="1" showInputMessage="1" showErrorMessage="1" errorTitle="Error!!!" error="Maximum year can be 30" sqref="C13 F24" xr:uid="{00000000-0002-0000-0400-000001000000}">
      <formula1>30</formula1>
    </dataValidation>
  </dataValidations>
  <pageMargins left="0.7" right="0.7" top="0.75" bottom="0.75" header="0.3" footer="0.3"/>
  <pageSetup scale="97" orientation="landscape"/>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R69"/>
  <sheetViews>
    <sheetView showGridLines="0" workbookViewId="0">
      <selection activeCell="C2" sqref="C2"/>
    </sheetView>
  </sheetViews>
  <sheetFormatPr defaultColWidth="0" defaultRowHeight="13.2" zeroHeight="1"/>
  <cols>
    <col min="1" max="1" width="4.21875" style="13" customWidth="1"/>
    <col min="2" max="2" width="12.77734375" style="13" customWidth="1"/>
    <col min="3" max="3" width="12.33203125" style="13" customWidth="1"/>
    <col min="4" max="4" width="8.77734375" style="13" customWidth="1"/>
    <col min="5" max="5" width="13.6640625" style="13" customWidth="1"/>
    <col min="6" max="6" width="5.6640625" style="13" customWidth="1"/>
    <col min="7" max="7" width="11.44140625" style="13" customWidth="1"/>
    <col min="8" max="8" width="10.6640625" style="13" customWidth="1"/>
    <col min="9" max="9" width="9.21875" style="13" customWidth="1"/>
    <col min="10" max="10" width="6.33203125" style="13" customWidth="1"/>
    <col min="11" max="11" width="6.6640625" style="13" customWidth="1"/>
    <col min="12" max="13" width="9.21875" style="13" customWidth="1"/>
    <col min="14" max="14" width="7.21875" style="13" customWidth="1"/>
    <col min="15" max="17" width="9.21875" style="13" customWidth="1"/>
    <col min="18" max="18" width="4.21875" style="13" customWidth="1"/>
    <col min="19" max="16384" width="9.21875" style="13" hidden="1"/>
  </cols>
  <sheetData>
    <row r="1" spans="1:17" ht="22.5" customHeight="1">
      <c r="B1" s="823" t="s">
        <v>48</v>
      </c>
      <c r="C1" s="823"/>
      <c r="D1" s="823"/>
      <c r="E1" s="823"/>
      <c r="F1" s="823"/>
      <c r="G1" s="823"/>
      <c r="I1" s="823" t="s">
        <v>81</v>
      </c>
      <c r="J1" s="823"/>
      <c r="K1" s="823"/>
      <c r="L1" s="823"/>
      <c r="M1" s="823"/>
      <c r="N1" s="823"/>
      <c r="O1" s="823"/>
      <c r="P1" s="823"/>
      <c r="Q1" s="587"/>
    </row>
    <row r="2" spans="1:17" s="462" customFormat="1" ht="20.25" customHeight="1">
      <c r="A2" s="554"/>
      <c r="B2" s="473" t="s">
        <v>82</v>
      </c>
      <c r="C2" s="555">
        <v>40</v>
      </c>
      <c r="D2" s="824" t="s">
        <v>83</v>
      </c>
      <c r="E2" s="824"/>
      <c r="F2" s="824"/>
      <c r="G2" s="556">
        <v>60</v>
      </c>
      <c r="H2" s="557"/>
      <c r="I2" s="565" t="s">
        <v>84</v>
      </c>
      <c r="J2" s="581"/>
      <c r="K2" s="581"/>
      <c r="L2" s="581"/>
      <c r="M2" s="581"/>
      <c r="N2" s="582"/>
      <c r="O2" s="825">
        <v>50000</v>
      </c>
      <c r="P2" s="825"/>
    </row>
    <row r="3" spans="1:17" s="462" customFormat="1" ht="20.25" customHeight="1">
      <c r="A3" s="554"/>
      <c r="B3" s="558" t="s">
        <v>85</v>
      </c>
      <c r="C3" s="559"/>
      <c r="D3" s="560"/>
      <c r="E3" s="560"/>
      <c r="F3" s="561"/>
      <c r="G3" s="562">
        <v>25000</v>
      </c>
      <c r="I3" s="565" t="s">
        <v>86</v>
      </c>
      <c r="J3" s="566"/>
      <c r="K3" s="566"/>
      <c r="L3" s="566"/>
      <c r="M3" s="566"/>
      <c r="N3" s="582"/>
      <c r="O3" s="826">
        <v>7.0000000000000007E-2</v>
      </c>
      <c r="P3" s="826"/>
    </row>
    <row r="4" spans="1:17" s="462" customFormat="1" ht="20.25" customHeight="1">
      <c r="A4" s="554"/>
      <c r="B4" s="558" t="s">
        <v>87</v>
      </c>
      <c r="C4" s="559"/>
      <c r="D4" s="560"/>
      <c r="E4" s="560"/>
      <c r="F4" s="563"/>
      <c r="G4" s="564">
        <v>0.1</v>
      </c>
      <c r="H4" s="557"/>
      <c r="I4" s="583" t="s">
        <v>88</v>
      </c>
      <c r="J4" s="566"/>
      <c r="K4" s="566"/>
      <c r="L4" s="566"/>
      <c r="M4" s="566"/>
      <c r="N4" s="582"/>
      <c r="O4" s="818">
        <f>O2*(1+O3)^(G2-C2)</f>
        <v>193484.22312430898</v>
      </c>
      <c r="P4" s="819"/>
    </row>
    <row r="5" spans="1:17" s="462" customFormat="1" ht="20.25" customHeight="1">
      <c r="B5" s="472"/>
      <c r="D5" s="472"/>
      <c r="E5" s="472"/>
      <c r="F5" s="472"/>
      <c r="G5" s="472"/>
    </row>
    <row r="6" spans="1:17" s="462" customFormat="1" ht="20.25" customHeight="1">
      <c r="B6" s="472" t="s">
        <v>89</v>
      </c>
      <c r="D6" s="472"/>
      <c r="E6" s="472"/>
      <c r="F6" s="472"/>
      <c r="G6" s="472"/>
      <c r="I6" s="472" t="s">
        <v>90</v>
      </c>
    </row>
    <row r="7" spans="1:17" s="462" customFormat="1" ht="20.25" customHeight="1">
      <c r="A7" s="554"/>
      <c r="B7" s="565" t="s">
        <v>91</v>
      </c>
      <c r="C7" s="566"/>
      <c r="D7" s="567"/>
      <c r="E7" s="567"/>
      <c r="F7" s="568"/>
      <c r="G7" s="569">
        <v>0.12</v>
      </c>
      <c r="H7" s="557"/>
      <c r="I7" s="565" t="s">
        <v>92</v>
      </c>
      <c r="J7" s="566"/>
      <c r="K7" s="566"/>
      <c r="L7" s="566"/>
      <c r="M7" s="566"/>
      <c r="N7" s="582"/>
      <c r="O7" s="820">
        <v>0.08</v>
      </c>
      <c r="P7" s="820"/>
    </row>
    <row r="8" spans="1:17" s="462" customFormat="1" ht="20.25" customHeight="1">
      <c r="B8" s="570"/>
      <c r="N8" s="507"/>
    </row>
    <row r="9" spans="1:17" s="462" customFormat="1" ht="20.25" customHeight="1">
      <c r="N9" s="507"/>
    </row>
    <row r="10" spans="1:17" s="462" customFormat="1" ht="20.25" customHeight="1">
      <c r="E10" s="571" t="str">
        <f>"Accumulated wealth @ retirement (age: "&amp;RETIREMENT&amp;")"</f>
        <v>Accumulated wealth @ retirement (age: 60)</v>
      </c>
      <c r="F10" s="566"/>
      <c r="G10" s="566"/>
      <c r="H10" s="566"/>
      <c r="I10" s="582"/>
      <c r="J10" s="821">
        <f>FV(G7,G2-C2,0,PV(((1+G7)/(1+G4)-1)/12,(G2-C2)*12,G3,0,1))</f>
        <v>48565080.664868034</v>
      </c>
      <c r="K10" s="821"/>
      <c r="L10" s="819"/>
    </row>
    <row r="11" spans="1:17" s="462" customFormat="1" ht="20.25" customHeight="1">
      <c r="E11" s="572" t="s">
        <v>93</v>
      </c>
      <c r="F11" s="573"/>
      <c r="G11" s="573"/>
      <c r="H11" s="573"/>
      <c r="I11" s="584"/>
      <c r="J11" s="585" t="str">
        <f>IF(ISERROR(G18),"&gt;","&lt;")</f>
        <v>&lt;</v>
      </c>
      <c r="K11" s="586" t="str">
        <f>IFERROR(G18,"50")&amp;" years"</f>
        <v>24 years</v>
      </c>
      <c r="L11" s="582"/>
      <c r="M11" s="472"/>
    </row>
    <row r="12" spans="1:17" s="462" customFormat="1" ht="20.25" customHeight="1">
      <c r="B12" s="472"/>
    </row>
    <row r="13" spans="1:17" s="462" customFormat="1" ht="20.25" customHeight="1"/>
    <row r="14" spans="1:17" s="462" customFormat="1" ht="20.25" customHeight="1"/>
    <row r="15" spans="1:17" s="462" customFormat="1" ht="20.25" customHeight="1"/>
    <row r="16" spans="1:17" s="462" customFormat="1" ht="20.25" customHeight="1"/>
    <row r="17" spans="2:15" s="462" customFormat="1" ht="20.25" customHeight="1">
      <c r="O17" s="474"/>
    </row>
    <row r="18" spans="2:15" s="462" customFormat="1" ht="20.25" hidden="1" customHeight="1">
      <c r="G18" s="482">
        <f t="array" ref="G18">INDEX(B20:F69,MATCH(-1,SIGN(F20:F69),0),1)</f>
        <v>24</v>
      </c>
      <c r="O18" s="474"/>
    </row>
    <row r="19" spans="2:15" hidden="1">
      <c r="B19" s="574" t="s">
        <v>94</v>
      </c>
      <c r="C19" s="575" t="s">
        <v>95</v>
      </c>
      <c r="D19" s="575" t="s">
        <v>96</v>
      </c>
      <c r="E19" s="575" t="s">
        <v>97</v>
      </c>
      <c r="F19" s="822" t="s">
        <v>98</v>
      </c>
      <c r="G19" s="822"/>
      <c r="H19" s="576"/>
      <c r="O19" s="508"/>
    </row>
    <row r="20" spans="2:15" hidden="1">
      <c r="B20" s="577">
        <v>1</v>
      </c>
      <c r="C20" s="578">
        <f>J10</f>
        <v>48565080.664868034</v>
      </c>
      <c r="D20" s="579">
        <f>(O2*(1+O3)^(G2-C2))*12</f>
        <v>2321810.6774917077</v>
      </c>
      <c r="E20" s="580">
        <f>C20-D20</f>
        <v>46243269.987376325</v>
      </c>
      <c r="F20" s="817">
        <f t="shared" ref="F20:F51" si="0">E20*(1+$O$7)</f>
        <v>49942731.586366437</v>
      </c>
      <c r="G20" s="817"/>
      <c r="N20" s="462"/>
      <c r="O20" s="474"/>
    </row>
    <row r="21" spans="2:15" hidden="1">
      <c r="B21" s="577">
        <v>2</v>
      </c>
      <c r="C21" s="578">
        <f>F20</f>
        <v>49942731.586366437</v>
      </c>
      <c r="D21" s="579">
        <f t="shared" ref="D21:D52" si="1">D20*(1+$O$3)</f>
        <v>2484337.4249161272</v>
      </c>
      <c r="E21" s="580">
        <f>C21-D21</f>
        <v>47458394.161450312</v>
      </c>
      <c r="F21" s="817">
        <f t="shared" si="0"/>
        <v>51255065.694366343</v>
      </c>
      <c r="G21" s="817"/>
      <c r="N21" s="462"/>
      <c r="O21" s="474"/>
    </row>
    <row r="22" spans="2:15" hidden="1">
      <c r="B22" s="577">
        <v>3</v>
      </c>
      <c r="C22" s="578">
        <f t="shared" ref="C22:C69" si="2">F21</f>
        <v>51255065.694366343</v>
      </c>
      <c r="D22" s="579">
        <f t="shared" si="1"/>
        <v>2658241.0446602562</v>
      </c>
      <c r="E22" s="580">
        <f t="shared" ref="E22:E69" si="3">C22-D22</f>
        <v>48596824.649706088</v>
      </c>
      <c r="F22" s="817">
        <f t="shared" si="0"/>
        <v>52484570.621682577</v>
      </c>
      <c r="G22" s="817"/>
      <c r="N22" s="462"/>
      <c r="O22" s="474"/>
    </row>
    <row r="23" spans="2:15" hidden="1">
      <c r="B23" s="577">
        <v>4</v>
      </c>
      <c r="C23" s="578">
        <f t="shared" si="2"/>
        <v>52484570.621682577</v>
      </c>
      <c r="D23" s="579">
        <f t="shared" si="1"/>
        <v>2844317.9177864743</v>
      </c>
      <c r="E23" s="580">
        <f t="shared" si="3"/>
        <v>49640252.703896105</v>
      </c>
      <c r="F23" s="817">
        <f t="shared" si="0"/>
        <v>53611472.920207798</v>
      </c>
      <c r="G23" s="817"/>
    </row>
    <row r="24" spans="2:15" hidden="1">
      <c r="B24" s="577">
        <v>5</v>
      </c>
      <c r="C24" s="578">
        <f t="shared" si="2"/>
        <v>53611472.920207798</v>
      </c>
      <c r="D24" s="579">
        <f t="shared" si="1"/>
        <v>3043420.1720315279</v>
      </c>
      <c r="E24" s="580">
        <f t="shared" si="3"/>
        <v>50568052.748176269</v>
      </c>
      <c r="F24" s="817">
        <f t="shared" si="0"/>
        <v>54613496.968030371</v>
      </c>
      <c r="G24" s="817"/>
    </row>
    <row r="25" spans="2:15" hidden="1">
      <c r="B25" s="577">
        <v>6</v>
      </c>
      <c r="C25" s="578">
        <f t="shared" si="2"/>
        <v>54613496.968030371</v>
      </c>
      <c r="D25" s="579">
        <f t="shared" si="1"/>
        <v>3256459.5840737349</v>
      </c>
      <c r="E25" s="580">
        <f t="shared" si="3"/>
        <v>51357037.383956634</v>
      </c>
      <c r="F25" s="817">
        <f t="shared" si="0"/>
        <v>55465600.374673165</v>
      </c>
      <c r="G25" s="817"/>
    </row>
    <row r="26" spans="2:15" hidden="1">
      <c r="B26" s="577">
        <v>7</v>
      </c>
      <c r="C26" s="578">
        <f t="shared" si="2"/>
        <v>55465600.374673165</v>
      </c>
      <c r="D26" s="579">
        <f t="shared" si="1"/>
        <v>3484411.7549588964</v>
      </c>
      <c r="E26" s="580">
        <f t="shared" si="3"/>
        <v>51981188.619714268</v>
      </c>
      <c r="F26" s="817">
        <f t="shared" si="0"/>
        <v>56139683.709291413</v>
      </c>
      <c r="G26" s="817"/>
    </row>
    <row r="27" spans="2:15" hidden="1">
      <c r="B27" s="577">
        <v>8</v>
      </c>
      <c r="C27" s="578">
        <f t="shared" si="2"/>
        <v>56139683.709291413</v>
      </c>
      <c r="D27" s="579">
        <f t="shared" si="1"/>
        <v>3728320.5778060192</v>
      </c>
      <c r="E27" s="580">
        <f t="shared" si="3"/>
        <v>52411363.131485395</v>
      </c>
      <c r="F27" s="817">
        <f t="shared" si="0"/>
        <v>56604272.182004228</v>
      </c>
      <c r="G27" s="817"/>
    </row>
    <row r="28" spans="2:15" hidden="1">
      <c r="B28" s="577">
        <v>9</v>
      </c>
      <c r="C28" s="578">
        <f t="shared" si="2"/>
        <v>56604272.182004228</v>
      </c>
      <c r="D28" s="579">
        <f t="shared" si="1"/>
        <v>3989303.0182524407</v>
      </c>
      <c r="E28" s="580">
        <f t="shared" si="3"/>
        <v>52614969.163751788</v>
      </c>
      <c r="F28" s="817">
        <f t="shared" si="0"/>
        <v>56824166.696851939</v>
      </c>
      <c r="G28" s="817"/>
    </row>
    <row r="29" spans="2:15" hidden="1">
      <c r="B29" s="577">
        <v>10</v>
      </c>
      <c r="C29" s="578">
        <f t="shared" si="2"/>
        <v>56824166.696851939</v>
      </c>
      <c r="D29" s="579">
        <f t="shared" si="1"/>
        <v>4268554.2295301119</v>
      </c>
      <c r="E29" s="580">
        <f t="shared" si="3"/>
        <v>52555612.467321828</v>
      </c>
      <c r="F29" s="817">
        <f t="shared" si="0"/>
        <v>56760061.464707576</v>
      </c>
      <c r="G29" s="817"/>
    </row>
    <row r="30" spans="2:15" hidden="1">
      <c r="B30" s="577">
        <v>11</v>
      </c>
      <c r="C30" s="578">
        <f t="shared" si="2"/>
        <v>56760061.464707576</v>
      </c>
      <c r="D30" s="579">
        <f t="shared" si="1"/>
        <v>4567353.0255972203</v>
      </c>
      <c r="E30" s="580">
        <f t="shared" si="3"/>
        <v>52192708.439110354</v>
      </c>
      <c r="F30" s="817">
        <f t="shared" si="0"/>
        <v>56368125.114239186</v>
      </c>
      <c r="G30" s="817"/>
    </row>
    <row r="31" spans="2:15" hidden="1">
      <c r="B31" s="577">
        <v>12</v>
      </c>
      <c r="C31" s="578">
        <f t="shared" si="2"/>
        <v>56368125.114239186</v>
      </c>
      <c r="D31" s="579">
        <f t="shared" si="1"/>
        <v>4887067.7373890262</v>
      </c>
      <c r="E31" s="580">
        <f t="shared" si="3"/>
        <v>51481057.376850158</v>
      </c>
      <c r="F31" s="817">
        <f t="shared" si="0"/>
        <v>55599541.966998175</v>
      </c>
      <c r="G31" s="817"/>
    </row>
    <row r="32" spans="2:15" hidden="1">
      <c r="B32" s="577">
        <v>13</v>
      </c>
      <c r="C32" s="578">
        <f t="shared" si="2"/>
        <v>55599541.966998175</v>
      </c>
      <c r="D32" s="579">
        <f t="shared" si="1"/>
        <v>5229162.4790062588</v>
      </c>
      <c r="E32" s="580">
        <f t="shared" si="3"/>
        <v>50370379.487991914</v>
      </c>
      <c r="F32" s="817">
        <f t="shared" si="0"/>
        <v>54400009.847031273</v>
      </c>
      <c r="G32" s="817"/>
    </row>
    <row r="33" spans="2:7" hidden="1">
      <c r="B33" s="577">
        <v>14</v>
      </c>
      <c r="C33" s="578">
        <f t="shared" si="2"/>
        <v>54400009.847031273</v>
      </c>
      <c r="D33" s="579">
        <f t="shared" si="1"/>
        <v>5595203.8525366969</v>
      </c>
      <c r="E33" s="580">
        <f t="shared" si="3"/>
        <v>48804805.994494572</v>
      </c>
      <c r="F33" s="817">
        <f t="shared" si="0"/>
        <v>52709190.474054143</v>
      </c>
      <c r="G33" s="817"/>
    </row>
    <row r="34" spans="2:7" hidden="1">
      <c r="B34" s="577">
        <v>15</v>
      </c>
      <c r="C34" s="578">
        <f t="shared" si="2"/>
        <v>52709190.474054143</v>
      </c>
      <c r="D34" s="579">
        <f t="shared" si="1"/>
        <v>5986868.1222142661</v>
      </c>
      <c r="E34" s="580">
        <f t="shared" si="3"/>
        <v>46722322.351839878</v>
      </c>
      <c r="F34" s="817">
        <f t="shared" si="0"/>
        <v>50460108.139987074</v>
      </c>
      <c r="G34" s="817"/>
    </row>
    <row r="35" spans="2:7" hidden="1">
      <c r="B35" s="577">
        <v>16</v>
      </c>
      <c r="C35" s="578">
        <f t="shared" si="2"/>
        <v>50460108.139987074</v>
      </c>
      <c r="D35" s="579">
        <f t="shared" si="1"/>
        <v>6405948.8907692647</v>
      </c>
      <c r="E35" s="580">
        <f t="shared" si="3"/>
        <v>44054159.249217808</v>
      </c>
      <c r="F35" s="817">
        <f t="shared" si="0"/>
        <v>47578491.989155233</v>
      </c>
      <c r="G35" s="817"/>
    </row>
    <row r="36" spans="2:7" hidden="1">
      <c r="B36" s="577">
        <v>17</v>
      </c>
      <c r="C36" s="578">
        <f t="shared" si="2"/>
        <v>47578491.989155233</v>
      </c>
      <c r="D36" s="579">
        <f t="shared" si="1"/>
        <v>6854365.3131231135</v>
      </c>
      <c r="E36" s="580">
        <f t="shared" si="3"/>
        <v>40724126.676032118</v>
      </c>
      <c r="F36" s="817">
        <f t="shared" si="0"/>
        <v>43982056.810114689</v>
      </c>
      <c r="G36" s="817"/>
    </row>
    <row r="37" spans="2:7" hidden="1">
      <c r="B37" s="577">
        <v>18</v>
      </c>
      <c r="C37" s="578">
        <f t="shared" si="2"/>
        <v>43982056.810114689</v>
      </c>
      <c r="D37" s="579">
        <f t="shared" si="1"/>
        <v>7334170.8850417314</v>
      </c>
      <c r="E37" s="580">
        <f t="shared" si="3"/>
        <v>36647885.925072961</v>
      </c>
      <c r="F37" s="817">
        <f t="shared" si="0"/>
        <v>39579716.7990788</v>
      </c>
      <c r="G37" s="817"/>
    </row>
    <row r="38" spans="2:7" hidden="1">
      <c r="B38" s="577">
        <v>19</v>
      </c>
      <c r="C38" s="578">
        <f t="shared" si="2"/>
        <v>39579716.7990788</v>
      </c>
      <c r="D38" s="579">
        <f t="shared" si="1"/>
        <v>7847562.8469946533</v>
      </c>
      <c r="E38" s="580">
        <f t="shared" si="3"/>
        <v>31732153.952084146</v>
      </c>
      <c r="F38" s="817">
        <f t="shared" si="0"/>
        <v>34270726.268250883</v>
      </c>
      <c r="G38" s="817"/>
    </row>
    <row r="39" spans="2:7" hidden="1">
      <c r="B39" s="577">
        <v>20</v>
      </c>
      <c r="C39" s="578">
        <f t="shared" si="2"/>
        <v>34270726.268250883</v>
      </c>
      <c r="D39" s="579">
        <f t="shared" si="1"/>
        <v>8396892.24628428</v>
      </c>
      <c r="E39" s="580">
        <f t="shared" si="3"/>
        <v>25873834.021966603</v>
      </c>
      <c r="F39" s="817">
        <f t="shared" si="0"/>
        <v>27943740.743723933</v>
      </c>
      <c r="G39" s="817"/>
    </row>
    <row r="40" spans="2:7" hidden="1">
      <c r="B40" s="577">
        <v>21</v>
      </c>
      <c r="C40" s="578">
        <f t="shared" si="2"/>
        <v>27943740.743723933</v>
      </c>
      <c r="D40" s="579">
        <f t="shared" si="1"/>
        <v>8984674.7035241798</v>
      </c>
      <c r="E40" s="580">
        <f t="shared" si="3"/>
        <v>18959066.040199753</v>
      </c>
      <c r="F40" s="817">
        <f t="shared" si="0"/>
        <v>20475791.323415734</v>
      </c>
      <c r="G40" s="817"/>
    </row>
    <row r="41" spans="2:7" hidden="1">
      <c r="B41" s="577">
        <v>22</v>
      </c>
      <c r="C41" s="578">
        <f t="shared" si="2"/>
        <v>20475791.323415734</v>
      </c>
      <c r="D41" s="579">
        <f t="shared" si="1"/>
        <v>9613601.9327708725</v>
      </c>
      <c r="E41" s="580">
        <f t="shared" si="3"/>
        <v>10862189.390644861</v>
      </c>
      <c r="F41" s="817">
        <f t="shared" si="0"/>
        <v>11731164.541896451</v>
      </c>
      <c r="G41" s="817"/>
    </row>
    <row r="42" spans="2:7" hidden="1">
      <c r="B42" s="577">
        <v>23</v>
      </c>
      <c r="C42" s="578">
        <f t="shared" si="2"/>
        <v>11731164.541896451</v>
      </c>
      <c r="D42" s="579">
        <f t="shared" si="1"/>
        <v>10286554.068064835</v>
      </c>
      <c r="E42" s="580">
        <f t="shared" si="3"/>
        <v>1444610.4738316163</v>
      </c>
      <c r="F42" s="817">
        <f t="shared" si="0"/>
        <v>1560179.3117381458</v>
      </c>
      <c r="G42" s="817"/>
    </row>
    <row r="43" spans="2:7" hidden="1">
      <c r="B43" s="577">
        <v>24</v>
      </c>
      <c r="C43" s="578">
        <f t="shared" si="2"/>
        <v>1560179.3117381458</v>
      </c>
      <c r="D43" s="579">
        <f t="shared" si="1"/>
        <v>11006612.852829374</v>
      </c>
      <c r="E43" s="580">
        <f t="shared" si="3"/>
        <v>-9446433.5410912279</v>
      </c>
      <c r="F43" s="817">
        <f t="shared" si="0"/>
        <v>-10202148.224378526</v>
      </c>
      <c r="G43" s="817"/>
    </row>
    <row r="44" spans="2:7" hidden="1">
      <c r="B44" s="577">
        <v>25</v>
      </c>
      <c r="C44" s="578">
        <f t="shared" si="2"/>
        <v>-10202148.224378526</v>
      </c>
      <c r="D44" s="579">
        <f t="shared" si="1"/>
        <v>11777075.752527431</v>
      </c>
      <c r="E44" s="580">
        <f t="shared" si="3"/>
        <v>-21979223.976905957</v>
      </c>
      <c r="F44" s="817">
        <f t="shared" si="0"/>
        <v>-23737561.895058434</v>
      </c>
      <c r="G44" s="817"/>
    </row>
    <row r="45" spans="2:7" hidden="1">
      <c r="B45" s="577">
        <v>26</v>
      </c>
      <c r="C45" s="578">
        <f t="shared" si="2"/>
        <v>-23737561.895058434</v>
      </c>
      <c r="D45" s="579">
        <f t="shared" si="1"/>
        <v>12601471.055204352</v>
      </c>
      <c r="E45" s="580">
        <f t="shared" si="3"/>
        <v>-36339032.950262785</v>
      </c>
      <c r="F45" s="817">
        <f t="shared" si="0"/>
        <v>-39246155.58628381</v>
      </c>
      <c r="G45" s="817"/>
    </row>
    <row r="46" spans="2:7" hidden="1">
      <c r="B46" s="577">
        <v>27</v>
      </c>
      <c r="C46" s="578">
        <f t="shared" si="2"/>
        <v>-39246155.58628381</v>
      </c>
      <c r="D46" s="579">
        <f t="shared" si="1"/>
        <v>13483574.029068658</v>
      </c>
      <c r="E46" s="580">
        <f t="shared" si="3"/>
        <v>-52729729.615352467</v>
      </c>
      <c r="F46" s="817">
        <f t="shared" si="0"/>
        <v>-56948107.984580666</v>
      </c>
      <c r="G46" s="817"/>
    </row>
    <row r="47" spans="2:7" hidden="1">
      <c r="B47" s="577">
        <v>28</v>
      </c>
      <c r="C47" s="578">
        <f t="shared" si="2"/>
        <v>-56948107.984580666</v>
      </c>
      <c r="D47" s="579">
        <f t="shared" si="1"/>
        <v>14427424.211103465</v>
      </c>
      <c r="E47" s="580">
        <f t="shared" si="3"/>
        <v>-71375532.195684135</v>
      </c>
      <c r="F47" s="817">
        <f t="shared" si="0"/>
        <v>-77085574.771338865</v>
      </c>
      <c r="G47" s="817"/>
    </row>
    <row r="48" spans="2:7" hidden="1">
      <c r="B48" s="577">
        <v>29</v>
      </c>
      <c r="C48" s="578">
        <f t="shared" si="2"/>
        <v>-77085574.771338865</v>
      </c>
      <c r="D48" s="579">
        <f t="shared" si="1"/>
        <v>15437343.905880708</v>
      </c>
      <c r="E48" s="580">
        <f t="shared" si="3"/>
        <v>-92522918.67721957</v>
      </c>
      <c r="F48" s="817">
        <f t="shared" si="0"/>
        <v>-99924752.171397135</v>
      </c>
      <c r="G48" s="817"/>
    </row>
    <row r="49" spans="2:7" hidden="1">
      <c r="B49" s="577">
        <v>30</v>
      </c>
      <c r="C49" s="578">
        <f t="shared" si="2"/>
        <v>-99924752.171397135</v>
      </c>
      <c r="D49" s="579">
        <f t="shared" si="1"/>
        <v>16517957.979292359</v>
      </c>
      <c r="E49" s="580">
        <f t="shared" si="3"/>
        <v>-116442710.1506895</v>
      </c>
      <c r="F49" s="817">
        <f t="shared" si="0"/>
        <v>-125758126.96274467</v>
      </c>
      <c r="G49" s="817"/>
    </row>
    <row r="50" spans="2:7" hidden="1">
      <c r="B50" s="577">
        <v>31</v>
      </c>
      <c r="C50" s="578">
        <f t="shared" si="2"/>
        <v>-125758126.96274467</v>
      </c>
      <c r="D50" s="579">
        <f t="shared" si="1"/>
        <v>17674215.037842825</v>
      </c>
      <c r="E50" s="580">
        <f t="shared" si="3"/>
        <v>-143432342.00058749</v>
      </c>
      <c r="F50" s="817">
        <f t="shared" si="0"/>
        <v>-154906929.36063451</v>
      </c>
      <c r="G50" s="817"/>
    </row>
    <row r="51" spans="2:7" hidden="1">
      <c r="B51" s="577">
        <v>32</v>
      </c>
      <c r="C51" s="578">
        <f t="shared" si="2"/>
        <v>-154906929.36063451</v>
      </c>
      <c r="D51" s="579">
        <f t="shared" si="1"/>
        <v>18911410.090491824</v>
      </c>
      <c r="E51" s="580">
        <f t="shared" si="3"/>
        <v>-173818339.45112634</v>
      </c>
      <c r="F51" s="817">
        <f t="shared" si="0"/>
        <v>-187723806.60721645</v>
      </c>
      <c r="G51" s="817"/>
    </row>
    <row r="52" spans="2:7" hidden="1">
      <c r="B52" s="577">
        <v>33</v>
      </c>
      <c r="C52" s="578">
        <f t="shared" si="2"/>
        <v>-187723806.60721645</v>
      </c>
      <c r="D52" s="579">
        <f t="shared" si="1"/>
        <v>20235208.796826251</v>
      </c>
      <c r="E52" s="580">
        <f t="shared" si="3"/>
        <v>-207959015.40404269</v>
      </c>
      <c r="F52" s="817">
        <f t="shared" ref="F52:F69" si="4">E52*(1+$O$7)</f>
        <v>-224595736.63636613</v>
      </c>
      <c r="G52" s="817"/>
    </row>
    <row r="53" spans="2:7" hidden="1">
      <c r="B53" s="577">
        <v>34</v>
      </c>
      <c r="C53" s="578">
        <f t="shared" si="2"/>
        <v>-224595736.63636613</v>
      </c>
      <c r="D53" s="579">
        <f t="shared" ref="D53:D69" si="5">D52*(1+$O$3)</f>
        <v>21651673.41260409</v>
      </c>
      <c r="E53" s="580">
        <f t="shared" si="3"/>
        <v>-246247410.04897022</v>
      </c>
      <c r="F53" s="817">
        <f t="shared" si="4"/>
        <v>-265947202.85288787</v>
      </c>
      <c r="G53" s="817"/>
    </row>
    <row r="54" spans="2:7" hidden="1">
      <c r="B54" s="577">
        <v>35</v>
      </c>
      <c r="C54" s="578">
        <f t="shared" si="2"/>
        <v>-265947202.85288787</v>
      </c>
      <c r="D54" s="579">
        <f t="shared" si="5"/>
        <v>23167290.551486377</v>
      </c>
      <c r="E54" s="580">
        <f t="shared" si="3"/>
        <v>-289114493.40437424</v>
      </c>
      <c r="F54" s="817">
        <f t="shared" si="4"/>
        <v>-312243652.87672418</v>
      </c>
      <c r="G54" s="817"/>
    </row>
    <row r="55" spans="2:7" hidden="1">
      <c r="B55" s="577">
        <v>36</v>
      </c>
      <c r="C55" s="578">
        <f t="shared" si="2"/>
        <v>-312243652.87672418</v>
      </c>
      <c r="D55" s="579">
        <f t="shared" si="5"/>
        <v>24789000.890090425</v>
      </c>
      <c r="E55" s="580">
        <f t="shared" si="3"/>
        <v>-337032653.76681459</v>
      </c>
      <c r="F55" s="817">
        <f t="shared" si="4"/>
        <v>-363995266.06815976</v>
      </c>
      <c r="G55" s="817"/>
    </row>
    <row r="56" spans="2:7" hidden="1">
      <c r="B56" s="577">
        <v>37</v>
      </c>
      <c r="C56" s="578">
        <f t="shared" si="2"/>
        <v>-363995266.06815976</v>
      </c>
      <c r="D56" s="579">
        <f t="shared" si="5"/>
        <v>26524230.952396754</v>
      </c>
      <c r="E56" s="580">
        <f t="shared" si="3"/>
        <v>-390519497.02055651</v>
      </c>
      <c r="F56" s="817">
        <f t="shared" si="4"/>
        <v>-421761056.78220105</v>
      </c>
      <c r="G56" s="817"/>
    </row>
    <row r="57" spans="2:7" hidden="1">
      <c r="B57" s="577">
        <v>38</v>
      </c>
      <c r="C57" s="578">
        <f t="shared" si="2"/>
        <v>-421761056.78220105</v>
      </c>
      <c r="D57" s="579">
        <f t="shared" si="5"/>
        <v>28380927.119064528</v>
      </c>
      <c r="E57" s="580">
        <f t="shared" si="3"/>
        <v>-450141983.90126556</v>
      </c>
      <c r="F57" s="817">
        <f t="shared" si="4"/>
        <v>-486153342.61336684</v>
      </c>
      <c r="G57" s="817"/>
    </row>
    <row r="58" spans="2:7" hidden="1">
      <c r="B58" s="577">
        <v>39</v>
      </c>
      <c r="C58" s="578">
        <f t="shared" si="2"/>
        <v>-486153342.61336684</v>
      </c>
      <c r="D58" s="579">
        <f t="shared" si="5"/>
        <v>30367592.017399047</v>
      </c>
      <c r="E58" s="580">
        <f t="shared" si="3"/>
        <v>-516520934.63076591</v>
      </c>
      <c r="F58" s="817">
        <f t="shared" si="4"/>
        <v>-557842609.40122724</v>
      </c>
      <c r="G58" s="817"/>
    </row>
    <row r="59" spans="2:7" hidden="1">
      <c r="B59" s="577">
        <v>40</v>
      </c>
      <c r="C59" s="578">
        <f t="shared" si="2"/>
        <v>-557842609.40122724</v>
      </c>
      <c r="D59" s="579">
        <f t="shared" si="5"/>
        <v>32493323.458616983</v>
      </c>
      <c r="E59" s="580">
        <f t="shared" si="3"/>
        <v>-590335932.85984421</v>
      </c>
      <c r="F59" s="817">
        <f t="shared" si="4"/>
        <v>-637562807.48863184</v>
      </c>
      <c r="G59" s="817"/>
    </row>
    <row r="60" spans="2:7" hidden="1">
      <c r="B60" s="577">
        <v>41</v>
      </c>
      <c r="C60" s="578">
        <f t="shared" si="2"/>
        <v>-637562807.48863184</v>
      </c>
      <c r="D60" s="579">
        <f t="shared" si="5"/>
        <v>34767856.100720175</v>
      </c>
      <c r="E60" s="580">
        <f t="shared" si="3"/>
        <v>-672330663.58935201</v>
      </c>
      <c r="F60" s="817">
        <f t="shared" si="4"/>
        <v>-726117116.6765002</v>
      </c>
      <c r="G60" s="817"/>
    </row>
    <row r="61" spans="2:7" hidden="1">
      <c r="B61" s="577">
        <v>42</v>
      </c>
      <c r="C61" s="578">
        <f t="shared" si="2"/>
        <v>-726117116.6765002</v>
      </c>
      <c r="D61" s="579">
        <f t="shared" si="5"/>
        <v>37201606.027770586</v>
      </c>
      <c r="E61" s="580">
        <f t="shared" si="3"/>
        <v>-763318722.70427084</v>
      </c>
      <c r="F61" s="817">
        <f t="shared" si="4"/>
        <v>-824384220.5206126</v>
      </c>
      <c r="G61" s="817"/>
    </row>
    <row r="62" spans="2:7" hidden="1">
      <c r="B62" s="577">
        <v>43</v>
      </c>
      <c r="C62" s="578">
        <f t="shared" si="2"/>
        <v>-824384220.5206126</v>
      </c>
      <c r="D62" s="579">
        <f t="shared" si="5"/>
        <v>39805718.449714527</v>
      </c>
      <c r="E62" s="580">
        <f t="shared" si="3"/>
        <v>-864189938.97032714</v>
      </c>
      <c r="F62" s="817">
        <f t="shared" si="4"/>
        <v>-933325134.08795333</v>
      </c>
      <c r="G62" s="817"/>
    </row>
    <row r="63" spans="2:7" hidden="1">
      <c r="B63" s="577">
        <v>44</v>
      </c>
      <c r="C63" s="578">
        <f t="shared" si="2"/>
        <v>-933325134.08795333</v>
      </c>
      <c r="D63" s="579">
        <f t="shared" si="5"/>
        <v>42592118.741194546</v>
      </c>
      <c r="E63" s="580">
        <f t="shared" si="3"/>
        <v>-975917252.82914782</v>
      </c>
      <c r="F63" s="817">
        <f t="shared" si="4"/>
        <v>-1053990633.0554798</v>
      </c>
      <c r="G63" s="817"/>
    </row>
    <row r="64" spans="2:7" hidden="1">
      <c r="B64" s="577">
        <v>45</v>
      </c>
      <c r="C64" s="578">
        <f t="shared" si="2"/>
        <v>-1053990633.0554798</v>
      </c>
      <c r="D64" s="579">
        <f t="shared" si="5"/>
        <v>45573567.053078167</v>
      </c>
      <c r="E64" s="580">
        <f t="shared" si="3"/>
        <v>-1099564200.1085579</v>
      </c>
      <c r="F64" s="817">
        <f t="shared" si="4"/>
        <v>-1187529336.1172426</v>
      </c>
      <c r="G64" s="817"/>
    </row>
    <row r="65" spans="2:7" hidden="1">
      <c r="B65" s="577">
        <v>46</v>
      </c>
      <c r="C65" s="578">
        <f t="shared" si="2"/>
        <v>-1187529336.1172426</v>
      </c>
      <c r="D65" s="579">
        <f t="shared" si="5"/>
        <v>48763716.746793643</v>
      </c>
      <c r="E65" s="580">
        <f t="shared" si="3"/>
        <v>-1236293052.8640363</v>
      </c>
      <c r="F65" s="817">
        <f t="shared" si="4"/>
        <v>-1335196497.0931592</v>
      </c>
      <c r="G65" s="817"/>
    </row>
    <row r="66" spans="2:7" hidden="1">
      <c r="B66" s="577">
        <v>47</v>
      </c>
      <c r="C66" s="578">
        <f t="shared" si="2"/>
        <v>-1335196497.0931592</v>
      </c>
      <c r="D66" s="579">
        <f t="shared" si="5"/>
        <v>52177176.919069201</v>
      </c>
      <c r="E66" s="580">
        <f t="shared" si="3"/>
        <v>-1387373674.0122285</v>
      </c>
      <c r="F66" s="817">
        <f t="shared" si="4"/>
        <v>-1498363567.9332068</v>
      </c>
      <c r="G66" s="817"/>
    </row>
    <row r="67" spans="2:7" hidden="1">
      <c r="B67" s="577">
        <v>48</v>
      </c>
      <c r="C67" s="578">
        <f t="shared" si="2"/>
        <v>-1498363567.9332068</v>
      </c>
      <c r="D67" s="579">
        <f t="shared" si="5"/>
        <v>55829579.303404048</v>
      </c>
      <c r="E67" s="580">
        <f t="shared" si="3"/>
        <v>-1554193147.2366109</v>
      </c>
      <c r="F67" s="817">
        <f t="shared" si="4"/>
        <v>-1678528599.0155399</v>
      </c>
      <c r="G67" s="817"/>
    </row>
    <row r="68" spans="2:7" hidden="1">
      <c r="B68" s="577">
        <v>49</v>
      </c>
      <c r="C68" s="578">
        <f t="shared" si="2"/>
        <v>-1678528599.0155399</v>
      </c>
      <c r="D68" s="579">
        <f t="shared" si="5"/>
        <v>59737649.854642332</v>
      </c>
      <c r="E68" s="580">
        <f t="shared" si="3"/>
        <v>-1738266248.8701823</v>
      </c>
      <c r="F68" s="817">
        <f t="shared" si="4"/>
        <v>-1877327548.7797971</v>
      </c>
      <c r="G68" s="817"/>
    </row>
    <row r="69" spans="2:7" hidden="1">
      <c r="B69" s="577">
        <v>50</v>
      </c>
      <c r="C69" s="578">
        <f t="shared" si="2"/>
        <v>-1877327548.7797971</v>
      </c>
      <c r="D69" s="579">
        <f t="shared" si="5"/>
        <v>63919285.344467297</v>
      </c>
      <c r="E69" s="580">
        <f t="shared" si="3"/>
        <v>-1941246834.1242645</v>
      </c>
      <c r="F69" s="817">
        <f t="shared" si="4"/>
        <v>-2096546580.8542058</v>
      </c>
      <c r="G69" s="817"/>
    </row>
  </sheetData>
  <sheetProtection algorithmName="SHA-512" hashValue="/TYaxPIrLLjITNJ4EYcI/R5Jbm+yEun3JDEiFQrxwuS3/K/CgY71qeObAk0iL+J9X443hl1UA9EUMSr7jahq9w==" saltValue="pQ0dMUxpggPRc6CbAmKzsQ==" spinCount="100000" sheet="1" objects="1"/>
  <mergeCells count="59">
    <mergeCell ref="B1:G1"/>
    <mergeCell ref="I1:P1"/>
    <mergeCell ref="D2:F2"/>
    <mergeCell ref="O2:P2"/>
    <mergeCell ref="O3:P3"/>
    <mergeCell ref="O4:P4"/>
    <mergeCell ref="O7:P7"/>
    <mergeCell ref="J10:L10"/>
    <mergeCell ref="F19:G19"/>
    <mergeCell ref="F20:G20"/>
    <mergeCell ref="F21:G21"/>
    <mergeCell ref="F22:G22"/>
    <mergeCell ref="F23:G23"/>
    <mergeCell ref="F24:G24"/>
    <mergeCell ref="F25:G25"/>
    <mergeCell ref="F26:G26"/>
    <mergeCell ref="F27:G27"/>
    <mergeCell ref="F28:G28"/>
    <mergeCell ref="F29:G29"/>
    <mergeCell ref="F30:G30"/>
    <mergeCell ref="F31:G31"/>
    <mergeCell ref="F32:G32"/>
    <mergeCell ref="F33:G33"/>
    <mergeCell ref="F34:G34"/>
    <mergeCell ref="F35:G35"/>
    <mergeCell ref="F36:G36"/>
    <mergeCell ref="F37:G37"/>
    <mergeCell ref="F38:G38"/>
    <mergeCell ref="F39:G39"/>
    <mergeCell ref="F40:G40"/>
    <mergeCell ref="F41:G41"/>
    <mergeCell ref="F42:G42"/>
    <mergeCell ref="F43:G43"/>
    <mergeCell ref="F44:G44"/>
    <mergeCell ref="F45:G45"/>
    <mergeCell ref="F46:G46"/>
    <mergeCell ref="F47:G47"/>
    <mergeCell ref="F48:G48"/>
    <mergeCell ref="F49:G49"/>
    <mergeCell ref="F50:G50"/>
    <mergeCell ref="F51:G51"/>
    <mergeCell ref="F52:G52"/>
    <mergeCell ref="F53:G53"/>
    <mergeCell ref="F54:G54"/>
    <mergeCell ref="F55:G55"/>
    <mergeCell ref="F56:G56"/>
    <mergeCell ref="F57:G57"/>
    <mergeCell ref="F58:G58"/>
    <mergeCell ref="F59:G59"/>
    <mergeCell ref="F60:G60"/>
    <mergeCell ref="F66:G66"/>
    <mergeCell ref="F67:G67"/>
    <mergeCell ref="F68:G68"/>
    <mergeCell ref="F69:G69"/>
    <mergeCell ref="F61:G61"/>
    <mergeCell ref="F62:G62"/>
    <mergeCell ref="F63:G63"/>
    <mergeCell ref="F64:G64"/>
    <mergeCell ref="F65:G65"/>
  </mergeCells>
  <pageMargins left="0.7" right="0.7" top="0.75" bottom="0.75" header="0.3" footer="0.3"/>
  <pageSetup scale="74" orientation="landscape"/>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S52"/>
  <sheetViews>
    <sheetView showGridLines="0" workbookViewId="0">
      <selection activeCell="D2" sqref="D2"/>
    </sheetView>
  </sheetViews>
  <sheetFormatPr defaultColWidth="8.88671875" defaultRowHeight="14.4"/>
  <cols>
    <col min="1" max="1" width="6.109375" style="115" customWidth="1"/>
    <col min="2" max="2" width="4.6640625" style="115" customWidth="1"/>
    <col min="3" max="3" width="14.21875" style="115" customWidth="1"/>
    <col min="4" max="4" width="13.44140625" style="510" customWidth="1"/>
    <col min="5" max="5" width="12.109375" style="510" customWidth="1"/>
    <col min="6" max="6" width="14.21875" style="115" customWidth="1"/>
    <col min="7" max="10" width="14.21875" style="115" hidden="1" customWidth="1"/>
    <col min="11" max="11" width="14.21875" style="115" customWidth="1"/>
    <col min="12" max="12" width="12.21875" style="511" customWidth="1"/>
    <col min="13" max="13" width="14.21875" style="115" customWidth="1"/>
    <col min="14" max="14" width="3.21875" style="115" customWidth="1"/>
    <col min="15" max="15" width="11.33203125" style="115" customWidth="1"/>
    <col min="16" max="16" width="12.6640625" style="115" customWidth="1"/>
    <col min="17" max="17" width="15.33203125" style="115" customWidth="1"/>
    <col min="18" max="18" width="11.5546875" style="115" customWidth="1"/>
    <col min="19" max="19" width="8.88671875" style="115" hidden="1" customWidth="1"/>
    <col min="20" max="20" width="8.88671875" style="115"/>
    <col min="21" max="21" width="11.33203125" style="115" customWidth="1"/>
    <col min="22" max="16384" width="8.88671875" style="115"/>
  </cols>
  <sheetData>
    <row r="1" spans="1:19" s="509" customFormat="1" ht="18" customHeight="1">
      <c r="A1" s="842" t="s">
        <v>99</v>
      </c>
      <c r="B1" s="842"/>
      <c r="C1" s="842"/>
      <c r="D1" s="842"/>
      <c r="E1" s="512"/>
      <c r="F1" s="843" t="s">
        <v>100</v>
      </c>
      <c r="G1" s="844"/>
      <c r="H1" s="844"/>
      <c r="I1" s="513"/>
      <c r="J1" s="513"/>
      <c r="K1" s="844" t="s">
        <v>101</v>
      </c>
      <c r="L1" s="844"/>
      <c r="M1" s="844"/>
      <c r="N1" s="844"/>
      <c r="O1" s="844"/>
      <c r="P1" s="523" t="s">
        <v>102</v>
      </c>
      <c r="Q1" s="513" t="s">
        <v>103</v>
      </c>
      <c r="R1" s="542" t="s">
        <v>104</v>
      </c>
    </row>
    <row r="2" spans="1:19" s="509" customFormat="1" ht="18" customHeight="1">
      <c r="A2" s="845" t="s">
        <v>105</v>
      </c>
      <c r="B2" s="845"/>
      <c r="C2" s="845"/>
      <c r="D2" s="514">
        <v>25000</v>
      </c>
      <c r="E2" s="512"/>
      <c r="F2" s="846" t="s">
        <v>106</v>
      </c>
      <c r="G2" s="846"/>
      <c r="H2" s="846"/>
      <c r="I2" s="528"/>
      <c r="J2" s="528"/>
      <c r="K2" s="835" t="s">
        <v>107</v>
      </c>
      <c r="L2" s="836"/>
      <c r="M2" s="836"/>
      <c r="N2" s="836"/>
      <c r="O2" s="837"/>
      <c r="P2" s="529">
        <v>0.2</v>
      </c>
      <c r="Q2" s="543">
        <f>P2*D4</f>
        <v>1000000</v>
      </c>
      <c r="R2" s="544">
        <v>7.0000000000000007E-2</v>
      </c>
      <c r="S2" s="545">
        <f>P2*R2</f>
        <v>1.4000000000000002E-2</v>
      </c>
    </row>
    <row r="3" spans="1:19" s="509" customFormat="1" ht="18" customHeight="1">
      <c r="A3" s="831" t="s">
        <v>29</v>
      </c>
      <c r="B3" s="832"/>
      <c r="C3" s="833"/>
      <c r="D3" s="515">
        <v>7.0000000000000007E-2</v>
      </c>
      <c r="E3" s="512"/>
      <c r="F3" s="834" t="s">
        <v>108</v>
      </c>
      <c r="G3" s="834"/>
      <c r="H3" s="834"/>
      <c r="I3" s="530"/>
      <c r="J3" s="530"/>
      <c r="K3" s="835" t="s">
        <v>109</v>
      </c>
      <c r="L3" s="836"/>
      <c r="M3" s="836"/>
      <c r="N3" s="836"/>
      <c r="O3" s="837"/>
      <c r="P3" s="529">
        <v>0.2</v>
      </c>
      <c r="Q3" s="546">
        <f>P3*D4</f>
        <v>1000000</v>
      </c>
      <c r="R3" s="544">
        <v>0.08</v>
      </c>
      <c r="S3" s="547">
        <f t="shared" ref="S3:S4" si="0">P3*R3</f>
        <v>1.6E-2</v>
      </c>
    </row>
    <row r="4" spans="1:19" s="509" customFormat="1" ht="18" customHeight="1">
      <c r="A4" s="831" t="s">
        <v>110</v>
      </c>
      <c r="B4" s="832"/>
      <c r="C4" s="833"/>
      <c r="D4" s="516">
        <v>5000000</v>
      </c>
      <c r="E4" s="512"/>
      <c r="F4" s="838" t="s">
        <v>111</v>
      </c>
      <c r="G4" s="838"/>
      <c r="H4" s="838"/>
      <c r="I4" s="531"/>
      <c r="J4" s="531"/>
      <c r="K4" s="839" t="s">
        <v>112</v>
      </c>
      <c r="L4" s="840"/>
      <c r="M4" s="840"/>
      <c r="N4" s="840"/>
      <c r="O4" s="841"/>
      <c r="P4" s="532">
        <v>0.6</v>
      </c>
      <c r="Q4" s="548">
        <f>P4*D4</f>
        <v>3000000</v>
      </c>
      <c r="R4" s="549">
        <v>0.12</v>
      </c>
      <c r="S4" s="550">
        <f t="shared" si="0"/>
        <v>7.1999999999999995E-2</v>
      </c>
    </row>
    <row r="5" spans="1:19" s="509" customFormat="1" ht="18" customHeight="1">
      <c r="A5" s="827" t="s">
        <v>113</v>
      </c>
      <c r="B5" s="828"/>
      <c r="C5" s="829"/>
      <c r="D5" s="517">
        <v>55</v>
      </c>
      <c r="E5" s="512"/>
      <c r="L5" s="533"/>
      <c r="M5" s="534"/>
      <c r="P5" s="830" t="s">
        <v>114</v>
      </c>
      <c r="Q5" s="830"/>
      <c r="R5" s="551">
        <f>SUM(S2:S4)</f>
        <v>0.10199999999999999</v>
      </c>
    </row>
    <row r="6" spans="1:19" s="509" customFormat="1" ht="8.25" customHeight="1">
      <c r="A6" s="518"/>
      <c r="B6" s="518"/>
      <c r="C6" s="518"/>
      <c r="D6" s="519"/>
      <c r="E6" s="512"/>
      <c r="L6" s="533"/>
      <c r="P6" s="535"/>
      <c r="Q6" s="535"/>
      <c r="R6" s="552"/>
    </row>
    <row r="7" spans="1:19" ht="15.75" customHeight="1">
      <c r="A7" s="115" t="s">
        <v>115</v>
      </c>
      <c r="F7" s="520"/>
      <c r="G7" s="520"/>
      <c r="H7" s="520"/>
      <c r="I7" s="520"/>
      <c r="J7" s="520"/>
      <c r="K7" s="520"/>
      <c r="L7" s="536"/>
      <c r="M7" s="537">
        <f>IF(ISERROR((VLOOKUP(0,G12:J52,4,FALSE)-1)),"&gt; 40 Years",(VLOOKUP(0,G12:J52,4,FALSE)-1))</f>
        <v>22</v>
      </c>
      <c r="N7" s="520"/>
      <c r="O7" s="115" t="s">
        <v>116</v>
      </c>
      <c r="Q7" s="553">
        <f>IFERROR(VLOOKUP(M7,$A$12:$L$52,12,FALSE),VLOOKUP(41,$A$12:$L$252,12,FALSE))</f>
        <v>14701721.747573268</v>
      </c>
    </row>
    <row r="8" spans="1:19" ht="8.25" customHeight="1">
      <c r="F8" s="520"/>
      <c r="G8" s="520"/>
      <c r="H8" s="520"/>
      <c r="I8" s="520"/>
      <c r="J8" s="520"/>
      <c r="K8" s="520"/>
      <c r="L8" s="536"/>
      <c r="M8" s="520"/>
      <c r="N8" s="520"/>
    </row>
    <row r="9" spans="1:19">
      <c r="A9" s="115" t="s">
        <v>117</v>
      </c>
      <c r="F9" s="520"/>
      <c r="G9" s="520"/>
      <c r="H9" s="520"/>
      <c r="I9" s="520"/>
      <c r="J9" s="520"/>
      <c r="K9" s="520"/>
      <c r="L9" s="536"/>
      <c r="M9" s="537">
        <f>IF(ISERROR(VLOOKUP(0,I12:J52,2,FALSE)-1),"&gt; 40 Years",(VLOOKUP(0,I12:J52,2,FALSE)-1))</f>
        <v>16</v>
      </c>
      <c r="N9" s="520"/>
      <c r="O9" s="115" t="s">
        <v>116</v>
      </c>
      <c r="Q9" s="553">
        <f>IFERROR(VLOOKUP(M9,$A$12:$L$52,12,FALSE),VLOOKUP(41,$A$12:$L$252,12,FALSE))</f>
        <v>8366416.0652803211</v>
      </c>
    </row>
    <row r="10" spans="1:19">
      <c r="E10" s="521"/>
      <c r="F10" s="520"/>
      <c r="G10" s="520"/>
      <c r="H10" s="520"/>
      <c r="I10" s="520"/>
      <c r="J10" s="520"/>
      <c r="K10" s="520"/>
      <c r="L10" s="536"/>
      <c r="M10" s="520"/>
      <c r="N10" s="520"/>
      <c r="O10" s="538"/>
    </row>
    <row r="11" spans="1:19" ht="28.8">
      <c r="A11" s="522" t="s">
        <v>118</v>
      </c>
      <c r="B11" s="523" t="s">
        <v>119</v>
      </c>
      <c r="C11" s="524" t="s">
        <v>120</v>
      </c>
      <c r="D11" s="524" t="s">
        <v>121</v>
      </c>
      <c r="E11" s="524" t="s">
        <v>122</v>
      </c>
      <c r="F11" s="524" t="s">
        <v>123</v>
      </c>
      <c r="G11" s="524" t="s">
        <v>124</v>
      </c>
      <c r="H11" s="524" t="s">
        <v>125</v>
      </c>
      <c r="I11" s="524" t="s">
        <v>124</v>
      </c>
      <c r="J11" s="524" t="s">
        <v>126</v>
      </c>
      <c r="K11" s="539" t="s">
        <v>127</v>
      </c>
    </row>
    <row r="12" spans="1:19">
      <c r="A12" s="525">
        <v>1</v>
      </c>
      <c r="B12" s="228">
        <f>D5</f>
        <v>55</v>
      </c>
      <c r="C12" s="526">
        <f>D4</f>
        <v>5000000</v>
      </c>
      <c r="D12" s="526">
        <f>12*D2</f>
        <v>300000</v>
      </c>
      <c r="E12" s="526">
        <f t="shared" ref="E12:E52" si="1">D12/12</f>
        <v>25000</v>
      </c>
      <c r="F12" s="527">
        <f t="shared" ref="F12:F52" si="2">C12-D12</f>
        <v>4700000</v>
      </c>
      <c r="G12" s="527">
        <f>IF(F12&lt;0,0,1)</f>
        <v>1</v>
      </c>
      <c r="H12" s="527">
        <f t="shared" ref="H12:H52" si="3">F12*$R$5</f>
        <v>479399.99999999994</v>
      </c>
      <c r="I12" s="527">
        <f>IF(K12&gt;=$D$4,1,0)</f>
        <v>1</v>
      </c>
      <c r="J12" s="527">
        <f>A12</f>
        <v>1</v>
      </c>
      <c r="K12" s="526">
        <f t="shared" ref="K12:K52" si="4">FV($R$5,1,,-F12,)</f>
        <v>5179400</v>
      </c>
      <c r="L12" s="540">
        <f>D12</f>
        <v>300000</v>
      </c>
    </row>
    <row r="13" spans="1:19">
      <c r="A13" s="525">
        <v>2</v>
      </c>
      <c r="B13" s="228">
        <f>B12+1</f>
        <v>56</v>
      </c>
      <c r="C13" s="527">
        <f>K12</f>
        <v>5179400</v>
      </c>
      <c r="D13" s="526">
        <f t="shared" ref="D13:D52" si="5">D12*(1+$D$3)</f>
        <v>321000</v>
      </c>
      <c r="E13" s="526">
        <f t="shared" si="1"/>
        <v>26750</v>
      </c>
      <c r="F13" s="527">
        <f t="shared" si="2"/>
        <v>4858400</v>
      </c>
      <c r="G13" s="527">
        <f t="shared" ref="G13:G52" si="6">IF(F13&lt;0,0,1)</f>
        <v>1</v>
      </c>
      <c r="H13" s="527">
        <f t="shared" si="3"/>
        <v>495556.8</v>
      </c>
      <c r="I13" s="527">
        <f t="shared" ref="I13:I52" si="7">IF(K13&gt;=$D$4,1,0)</f>
        <v>1</v>
      </c>
      <c r="J13" s="527">
        <f t="shared" ref="J13:J52" si="8">A13</f>
        <v>2</v>
      </c>
      <c r="K13" s="526">
        <f t="shared" si="4"/>
        <v>5353956.8000000007</v>
      </c>
      <c r="L13" s="540">
        <f>L12+D13</f>
        <v>621000</v>
      </c>
    </row>
    <row r="14" spans="1:19">
      <c r="A14" s="525">
        <v>3</v>
      </c>
      <c r="B14" s="228">
        <f t="shared" ref="B14:B52" si="9">B13+1</f>
        <v>57</v>
      </c>
      <c r="C14" s="527">
        <f t="shared" ref="C14:C52" si="10">K13</f>
        <v>5353956.8000000007</v>
      </c>
      <c r="D14" s="526">
        <f t="shared" si="5"/>
        <v>343470</v>
      </c>
      <c r="E14" s="526">
        <f t="shared" si="1"/>
        <v>28622.5</v>
      </c>
      <c r="F14" s="527">
        <f t="shared" si="2"/>
        <v>5010486.8000000007</v>
      </c>
      <c r="G14" s="527">
        <f t="shared" si="6"/>
        <v>1</v>
      </c>
      <c r="H14" s="527">
        <f t="shared" si="3"/>
        <v>511069.65360000002</v>
      </c>
      <c r="I14" s="527">
        <f t="shared" si="7"/>
        <v>1</v>
      </c>
      <c r="J14" s="527">
        <f t="shared" si="8"/>
        <v>3</v>
      </c>
      <c r="K14" s="526">
        <f t="shared" si="4"/>
        <v>5521556.4536000015</v>
      </c>
      <c r="L14" s="540">
        <f t="shared" ref="L14:L52" si="11">L13+D14</f>
        <v>964470</v>
      </c>
    </row>
    <row r="15" spans="1:19">
      <c r="A15" s="525">
        <v>4</v>
      </c>
      <c r="B15" s="228">
        <f t="shared" si="9"/>
        <v>58</v>
      </c>
      <c r="C15" s="527">
        <f t="shared" si="10"/>
        <v>5521556.4536000015</v>
      </c>
      <c r="D15" s="526">
        <f t="shared" si="5"/>
        <v>367512.9</v>
      </c>
      <c r="E15" s="526">
        <f t="shared" si="1"/>
        <v>30626.075000000001</v>
      </c>
      <c r="F15" s="527">
        <f t="shared" si="2"/>
        <v>5154043.5536000011</v>
      </c>
      <c r="G15" s="527">
        <f t="shared" si="6"/>
        <v>1</v>
      </c>
      <c r="H15" s="527">
        <f t="shared" si="3"/>
        <v>525712.4424672001</v>
      </c>
      <c r="I15" s="527">
        <f t="shared" si="7"/>
        <v>1</v>
      </c>
      <c r="J15" s="527">
        <f t="shared" si="8"/>
        <v>4</v>
      </c>
      <c r="K15" s="526">
        <f t="shared" si="4"/>
        <v>5679755.9960672017</v>
      </c>
      <c r="L15" s="540">
        <f t="shared" si="11"/>
        <v>1331982.8999999999</v>
      </c>
    </row>
    <row r="16" spans="1:19">
      <c r="A16" s="525">
        <v>5</v>
      </c>
      <c r="B16" s="228">
        <f t="shared" si="9"/>
        <v>59</v>
      </c>
      <c r="C16" s="527">
        <f t="shared" si="10"/>
        <v>5679755.9960672017</v>
      </c>
      <c r="D16" s="526">
        <f t="shared" si="5"/>
        <v>393238.80300000007</v>
      </c>
      <c r="E16" s="526">
        <f t="shared" si="1"/>
        <v>32769.900250000006</v>
      </c>
      <c r="F16" s="527">
        <f t="shared" si="2"/>
        <v>5286517.1930672014</v>
      </c>
      <c r="G16" s="527">
        <f t="shared" si="6"/>
        <v>1</v>
      </c>
      <c r="H16" s="527">
        <f t="shared" si="3"/>
        <v>539224.75369285455</v>
      </c>
      <c r="I16" s="527">
        <f t="shared" si="7"/>
        <v>1</v>
      </c>
      <c r="J16" s="527">
        <f t="shared" si="8"/>
        <v>5</v>
      </c>
      <c r="K16" s="526">
        <f t="shared" si="4"/>
        <v>5825741.9467600565</v>
      </c>
      <c r="L16" s="540">
        <f t="shared" si="11"/>
        <v>1725221.703</v>
      </c>
    </row>
    <row r="17" spans="1:13">
      <c r="A17" s="525">
        <v>6</v>
      </c>
      <c r="B17" s="228">
        <f t="shared" si="9"/>
        <v>60</v>
      </c>
      <c r="C17" s="527">
        <f t="shared" si="10"/>
        <v>5825741.9467600565</v>
      </c>
      <c r="D17" s="526">
        <f t="shared" si="5"/>
        <v>420765.51921000011</v>
      </c>
      <c r="E17" s="526">
        <f t="shared" si="1"/>
        <v>35063.793267500012</v>
      </c>
      <c r="F17" s="527">
        <f t="shared" si="2"/>
        <v>5404976.427550056</v>
      </c>
      <c r="G17" s="527">
        <f t="shared" si="6"/>
        <v>1</v>
      </c>
      <c r="H17" s="527">
        <f t="shared" si="3"/>
        <v>551307.59561010567</v>
      </c>
      <c r="I17" s="527">
        <f t="shared" si="7"/>
        <v>1</v>
      </c>
      <c r="J17" s="527">
        <f t="shared" si="8"/>
        <v>6</v>
      </c>
      <c r="K17" s="526">
        <f t="shared" si="4"/>
        <v>5956284.0231601624</v>
      </c>
      <c r="L17" s="540">
        <f t="shared" si="11"/>
        <v>2145987.2222100003</v>
      </c>
    </row>
    <row r="18" spans="1:13">
      <c r="A18" s="525">
        <v>7</v>
      </c>
      <c r="B18" s="228">
        <f t="shared" si="9"/>
        <v>61</v>
      </c>
      <c r="C18" s="527">
        <f t="shared" si="10"/>
        <v>5956284.0231601624</v>
      </c>
      <c r="D18" s="526">
        <f t="shared" si="5"/>
        <v>450219.10555470013</v>
      </c>
      <c r="E18" s="526">
        <f t="shared" si="1"/>
        <v>37518.258796225011</v>
      </c>
      <c r="F18" s="527">
        <f t="shared" si="2"/>
        <v>5506064.9176054625</v>
      </c>
      <c r="G18" s="527">
        <f t="shared" si="6"/>
        <v>1</v>
      </c>
      <c r="H18" s="527">
        <f t="shared" si="3"/>
        <v>561618.62159575708</v>
      </c>
      <c r="I18" s="527">
        <f t="shared" si="7"/>
        <v>1</v>
      </c>
      <c r="J18" s="527">
        <f t="shared" si="8"/>
        <v>7</v>
      </c>
      <c r="K18" s="526">
        <f t="shared" si="4"/>
        <v>6067683.5392012205</v>
      </c>
      <c r="L18" s="540">
        <f t="shared" si="11"/>
        <v>2596206.3277647002</v>
      </c>
    </row>
    <row r="19" spans="1:13">
      <c r="A19" s="525">
        <v>8</v>
      </c>
      <c r="B19" s="228">
        <f t="shared" si="9"/>
        <v>62</v>
      </c>
      <c r="C19" s="527">
        <f t="shared" si="10"/>
        <v>6067683.5392012205</v>
      </c>
      <c r="D19" s="526">
        <f t="shared" si="5"/>
        <v>481734.44294352917</v>
      </c>
      <c r="E19" s="526">
        <f t="shared" si="1"/>
        <v>40144.536911960764</v>
      </c>
      <c r="F19" s="527">
        <f t="shared" si="2"/>
        <v>5585949.0962576913</v>
      </c>
      <c r="G19" s="527">
        <f t="shared" si="6"/>
        <v>1</v>
      </c>
      <c r="H19" s="527">
        <f t="shared" si="3"/>
        <v>569766.80781828449</v>
      </c>
      <c r="I19" s="527">
        <f t="shared" si="7"/>
        <v>1</v>
      </c>
      <c r="J19" s="527">
        <f t="shared" si="8"/>
        <v>8</v>
      </c>
      <c r="K19" s="526">
        <f t="shared" si="4"/>
        <v>6155715.9040759765</v>
      </c>
      <c r="L19" s="540">
        <f t="shared" si="11"/>
        <v>3077940.7707082294</v>
      </c>
    </row>
    <row r="20" spans="1:13">
      <c r="A20" s="525">
        <v>9</v>
      </c>
      <c r="B20" s="228">
        <f t="shared" si="9"/>
        <v>63</v>
      </c>
      <c r="C20" s="527">
        <f t="shared" si="10"/>
        <v>6155715.9040759765</v>
      </c>
      <c r="D20" s="526">
        <f t="shared" si="5"/>
        <v>515455.85394957627</v>
      </c>
      <c r="E20" s="526">
        <f t="shared" si="1"/>
        <v>42954.654495798022</v>
      </c>
      <c r="F20" s="527">
        <f t="shared" si="2"/>
        <v>5640260.0501263998</v>
      </c>
      <c r="G20" s="527">
        <f t="shared" si="6"/>
        <v>1</v>
      </c>
      <c r="H20" s="527">
        <f t="shared" si="3"/>
        <v>575306.52511289273</v>
      </c>
      <c r="I20" s="527">
        <f t="shared" si="7"/>
        <v>1</v>
      </c>
      <c r="J20" s="527">
        <f t="shared" si="8"/>
        <v>9</v>
      </c>
      <c r="K20" s="526">
        <f t="shared" si="4"/>
        <v>6215566.5752392933</v>
      </c>
      <c r="L20" s="540">
        <f t="shared" si="11"/>
        <v>3593396.6246578055</v>
      </c>
    </row>
    <row r="21" spans="1:13">
      <c r="A21" s="525">
        <v>10</v>
      </c>
      <c r="B21" s="228">
        <f t="shared" si="9"/>
        <v>64</v>
      </c>
      <c r="C21" s="527">
        <f t="shared" si="10"/>
        <v>6215566.5752392933</v>
      </c>
      <c r="D21" s="526">
        <f t="shared" si="5"/>
        <v>551537.76372604666</v>
      </c>
      <c r="E21" s="526">
        <f t="shared" si="1"/>
        <v>45961.480310503888</v>
      </c>
      <c r="F21" s="527">
        <f t="shared" si="2"/>
        <v>5664028.811513247</v>
      </c>
      <c r="G21" s="527">
        <f t="shared" si="6"/>
        <v>1</v>
      </c>
      <c r="H21" s="527">
        <f t="shared" si="3"/>
        <v>577730.93877435115</v>
      </c>
      <c r="I21" s="527">
        <f t="shared" si="7"/>
        <v>1</v>
      </c>
      <c r="J21" s="527">
        <f t="shared" si="8"/>
        <v>10</v>
      </c>
      <c r="K21" s="526">
        <f t="shared" si="4"/>
        <v>6241759.7502875989</v>
      </c>
      <c r="L21" s="540">
        <f t="shared" si="11"/>
        <v>4144934.3883838523</v>
      </c>
    </row>
    <row r="22" spans="1:13">
      <c r="A22" s="525">
        <v>11</v>
      </c>
      <c r="B22" s="228">
        <f t="shared" si="9"/>
        <v>65</v>
      </c>
      <c r="C22" s="527">
        <f t="shared" si="10"/>
        <v>6241759.7502875989</v>
      </c>
      <c r="D22" s="526">
        <f t="shared" si="5"/>
        <v>590145.40718687</v>
      </c>
      <c r="E22" s="526">
        <f t="shared" si="1"/>
        <v>49178.783932239166</v>
      </c>
      <c r="F22" s="527">
        <f t="shared" si="2"/>
        <v>5651614.3431007285</v>
      </c>
      <c r="G22" s="527">
        <f t="shared" si="6"/>
        <v>1</v>
      </c>
      <c r="H22" s="527">
        <f t="shared" si="3"/>
        <v>576464.6629962743</v>
      </c>
      <c r="I22" s="527">
        <f t="shared" si="7"/>
        <v>1</v>
      </c>
      <c r="J22" s="527">
        <f t="shared" si="8"/>
        <v>11</v>
      </c>
      <c r="K22" s="526">
        <f t="shared" si="4"/>
        <v>6228079.0060970029</v>
      </c>
      <c r="L22" s="540">
        <f t="shared" si="11"/>
        <v>4735079.7955707218</v>
      </c>
    </row>
    <row r="23" spans="1:13">
      <c r="A23" s="525">
        <v>12</v>
      </c>
      <c r="B23" s="228">
        <f t="shared" si="9"/>
        <v>66</v>
      </c>
      <c r="C23" s="527">
        <f t="shared" si="10"/>
        <v>6228079.0060970029</v>
      </c>
      <c r="D23" s="526">
        <f t="shared" si="5"/>
        <v>631455.58568995097</v>
      </c>
      <c r="E23" s="526">
        <f t="shared" si="1"/>
        <v>52621.298807495914</v>
      </c>
      <c r="F23" s="527">
        <f t="shared" si="2"/>
        <v>5596623.4204070522</v>
      </c>
      <c r="G23" s="527">
        <f t="shared" si="6"/>
        <v>1</v>
      </c>
      <c r="H23" s="527">
        <f t="shared" si="3"/>
        <v>570855.58888151927</v>
      </c>
      <c r="I23" s="527">
        <f t="shared" si="7"/>
        <v>1</v>
      </c>
      <c r="J23" s="527">
        <f t="shared" si="8"/>
        <v>12</v>
      </c>
      <c r="K23" s="526">
        <f t="shared" si="4"/>
        <v>6167479.0092885718</v>
      </c>
      <c r="L23" s="540">
        <f t="shared" si="11"/>
        <v>5366535.3812606726</v>
      </c>
    </row>
    <row r="24" spans="1:13">
      <c r="A24" s="525">
        <v>13</v>
      </c>
      <c r="B24" s="228">
        <f t="shared" si="9"/>
        <v>67</v>
      </c>
      <c r="C24" s="527">
        <f t="shared" si="10"/>
        <v>6167479.0092885718</v>
      </c>
      <c r="D24" s="526">
        <f t="shared" si="5"/>
        <v>675657.47668824752</v>
      </c>
      <c r="E24" s="526">
        <f t="shared" si="1"/>
        <v>56304.789724020629</v>
      </c>
      <c r="F24" s="527">
        <f t="shared" si="2"/>
        <v>5491821.5326003246</v>
      </c>
      <c r="G24" s="527">
        <f t="shared" si="6"/>
        <v>1</v>
      </c>
      <c r="H24" s="527">
        <f t="shared" si="3"/>
        <v>560165.79632523307</v>
      </c>
      <c r="I24" s="527">
        <f t="shared" si="7"/>
        <v>1</v>
      </c>
      <c r="J24" s="527">
        <f t="shared" si="8"/>
        <v>13</v>
      </c>
      <c r="K24" s="526">
        <f t="shared" si="4"/>
        <v>6051987.3289255584</v>
      </c>
      <c r="L24" s="540">
        <f t="shared" si="11"/>
        <v>6042192.8579489198</v>
      </c>
    </row>
    <row r="25" spans="1:13">
      <c r="A25" s="525">
        <v>14</v>
      </c>
      <c r="B25" s="228">
        <f t="shared" si="9"/>
        <v>68</v>
      </c>
      <c r="C25" s="527">
        <f t="shared" si="10"/>
        <v>6051987.3289255584</v>
      </c>
      <c r="D25" s="526">
        <f t="shared" si="5"/>
        <v>722953.50005642488</v>
      </c>
      <c r="E25" s="526">
        <f t="shared" si="1"/>
        <v>60246.125004702073</v>
      </c>
      <c r="F25" s="527">
        <f t="shared" si="2"/>
        <v>5329033.8288691333</v>
      </c>
      <c r="G25" s="527">
        <f t="shared" si="6"/>
        <v>1</v>
      </c>
      <c r="H25" s="527">
        <f t="shared" si="3"/>
        <v>543561.4505446516</v>
      </c>
      <c r="I25" s="527">
        <f t="shared" si="7"/>
        <v>1</v>
      </c>
      <c r="J25" s="527">
        <f t="shared" si="8"/>
        <v>14</v>
      </c>
      <c r="K25" s="526">
        <f t="shared" si="4"/>
        <v>5872595.2794137858</v>
      </c>
      <c r="L25" s="540">
        <f t="shared" si="11"/>
        <v>6765146.3580053449</v>
      </c>
    </row>
    <row r="26" spans="1:13">
      <c r="A26" s="525">
        <v>15</v>
      </c>
      <c r="B26" s="228">
        <f t="shared" si="9"/>
        <v>69</v>
      </c>
      <c r="C26" s="527">
        <f t="shared" si="10"/>
        <v>5872595.2794137858</v>
      </c>
      <c r="D26" s="526">
        <f t="shared" si="5"/>
        <v>773560.24506037461</v>
      </c>
      <c r="E26" s="526">
        <f t="shared" si="1"/>
        <v>64463.353755031218</v>
      </c>
      <c r="F26" s="527">
        <f t="shared" si="2"/>
        <v>5099035.0343534108</v>
      </c>
      <c r="G26" s="527">
        <f t="shared" si="6"/>
        <v>1</v>
      </c>
      <c r="H26" s="527">
        <f t="shared" si="3"/>
        <v>520101.57350404788</v>
      </c>
      <c r="I26" s="527">
        <f t="shared" si="7"/>
        <v>1</v>
      </c>
      <c r="J26" s="527">
        <f t="shared" si="8"/>
        <v>15</v>
      </c>
      <c r="K26" s="526">
        <f t="shared" si="4"/>
        <v>5619136.6078574592</v>
      </c>
      <c r="L26" s="540">
        <f t="shared" si="11"/>
        <v>7538706.6030657198</v>
      </c>
    </row>
    <row r="27" spans="1:13">
      <c r="A27" s="525">
        <v>16</v>
      </c>
      <c r="B27" s="228">
        <f t="shared" si="9"/>
        <v>70</v>
      </c>
      <c r="C27" s="527">
        <f t="shared" si="10"/>
        <v>5619136.6078574592</v>
      </c>
      <c r="D27" s="526">
        <f t="shared" si="5"/>
        <v>827709.46221460088</v>
      </c>
      <c r="E27" s="526">
        <f t="shared" si="1"/>
        <v>68975.788517883411</v>
      </c>
      <c r="F27" s="527">
        <f t="shared" si="2"/>
        <v>4791427.145642858</v>
      </c>
      <c r="G27" s="527">
        <f t="shared" si="6"/>
        <v>1</v>
      </c>
      <c r="H27" s="527">
        <f t="shared" si="3"/>
        <v>488725.5688555715</v>
      </c>
      <c r="I27" s="527">
        <f t="shared" si="7"/>
        <v>1</v>
      </c>
      <c r="J27" s="527">
        <f t="shared" si="8"/>
        <v>16</v>
      </c>
      <c r="K27" s="526">
        <f t="shared" si="4"/>
        <v>5280152.7144984296</v>
      </c>
      <c r="L27" s="540">
        <f t="shared" si="11"/>
        <v>8366416.0652803211</v>
      </c>
    </row>
    <row r="28" spans="1:13" ht="15" customHeight="1">
      <c r="A28" s="525">
        <v>17</v>
      </c>
      <c r="B28" s="228">
        <f t="shared" si="9"/>
        <v>71</v>
      </c>
      <c r="C28" s="527">
        <f t="shared" si="10"/>
        <v>5280152.7144984296</v>
      </c>
      <c r="D28" s="526">
        <f t="shared" si="5"/>
        <v>885649.12456962303</v>
      </c>
      <c r="E28" s="526">
        <f t="shared" si="1"/>
        <v>73804.093714135248</v>
      </c>
      <c r="F28" s="527">
        <f t="shared" si="2"/>
        <v>4394503.5899288068</v>
      </c>
      <c r="G28" s="527">
        <f t="shared" si="6"/>
        <v>1</v>
      </c>
      <c r="H28" s="527">
        <f t="shared" si="3"/>
        <v>448239.36617273826</v>
      </c>
      <c r="I28" s="527">
        <f t="shared" si="7"/>
        <v>0</v>
      </c>
      <c r="J28" s="527">
        <f t="shared" si="8"/>
        <v>17</v>
      </c>
      <c r="K28" s="526">
        <f t="shared" si="4"/>
        <v>4842742.9561015451</v>
      </c>
      <c r="L28" s="540">
        <f t="shared" si="11"/>
        <v>9252065.1898499448</v>
      </c>
    </row>
    <row r="29" spans="1:13">
      <c r="A29" s="525">
        <v>18</v>
      </c>
      <c r="B29" s="228">
        <f t="shared" si="9"/>
        <v>72</v>
      </c>
      <c r="C29" s="527">
        <f t="shared" si="10"/>
        <v>4842742.9561015451</v>
      </c>
      <c r="D29" s="526">
        <f t="shared" si="5"/>
        <v>947644.5632894967</v>
      </c>
      <c r="E29" s="526">
        <f t="shared" si="1"/>
        <v>78970.38027412472</v>
      </c>
      <c r="F29" s="527">
        <f t="shared" si="2"/>
        <v>3895098.3928120486</v>
      </c>
      <c r="G29" s="527">
        <f t="shared" si="6"/>
        <v>1</v>
      </c>
      <c r="H29" s="527">
        <f t="shared" si="3"/>
        <v>397300.03606682894</v>
      </c>
      <c r="I29" s="527">
        <f t="shared" si="7"/>
        <v>0</v>
      </c>
      <c r="J29" s="527">
        <f t="shared" si="8"/>
        <v>18</v>
      </c>
      <c r="K29" s="526">
        <f t="shared" si="4"/>
        <v>4292398.4288788782</v>
      </c>
      <c r="L29" s="540">
        <f t="shared" si="11"/>
        <v>10199709.753139442</v>
      </c>
      <c r="M29" s="541" t="s">
        <v>128</v>
      </c>
    </row>
    <row r="30" spans="1:13" ht="15" customHeight="1">
      <c r="A30" s="525">
        <v>19</v>
      </c>
      <c r="B30" s="228">
        <f t="shared" si="9"/>
        <v>73</v>
      </c>
      <c r="C30" s="527">
        <f t="shared" si="10"/>
        <v>4292398.4288788782</v>
      </c>
      <c r="D30" s="526">
        <f t="shared" si="5"/>
        <v>1013979.6827197615</v>
      </c>
      <c r="E30" s="526">
        <f t="shared" si="1"/>
        <v>84498.306893313464</v>
      </c>
      <c r="F30" s="527">
        <f t="shared" si="2"/>
        <v>3278418.7461591167</v>
      </c>
      <c r="G30" s="527">
        <f t="shared" si="6"/>
        <v>1</v>
      </c>
      <c r="H30" s="527">
        <f t="shared" si="3"/>
        <v>334398.71210822987</v>
      </c>
      <c r="I30" s="527">
        <f t="shared" si="7"/>
        <v>0</v>
      </c>
      <c r="J30" s="527">
        <f t="shared" si="8"/>
        <v>19</v>
      </c>
      <c r="K30" s="526">
        <f t="shared" si="4"/>
        <v>3612817.458267347</v>
      </c>
      <c r="L30" s="540">
        <f t="shared" si="11"/>
        <v>11213689.435859203</v>
      </c>
      <c r="M30" s="541" t="s">
        <v>129</v>
      </c>
    </row>
    <row r="31" spans="1:13">
      <c r="A31" s="525">
        <v>20</v>
      </c>
      <c r="B31" s="228">
        <f t="shared" si="9"/>
        <v>74</v>
      </c>
      <c r="C31" s="527">
        <f t="shared" si="10"/>
        <v>3612817.458267347</v>
      </c>
      <c r="D31" s="526">
        <f t="shared" si="5"/>
        <v>1084958.260510145</v>
      </c>
      <c r="E31" s="526">
        <f t="shared" si="1"/>
        <v>90413.188375845421</v>
      </c>
      <c r="F31" s="527">
        <f t="shared" si="2"/>
        <v>2527859.1977572022</v>
      </c>
      <c r="G31" s="527">
        <f t="shared" si="6"/>
        <v>1</v>
      </c>
      <c r="H31" s="527">
        <f t="shared" si="3"/>
        <v>257841.6381712346</v>
      </c>
      <c r="I31" s="527">
        <f t="shared" si="7"/>
        <v>0</v>
      </c>
      <c r="J31" s="527">
        <f t="shared" si="8"/>
        <v>20</v>
      </c>
      <c r="K31" s="526">
        <f t="shared" si="4"/>
        <v>2785700.8359284368</v>
      </c>
      <c r="L31" s="540">
        <f t="shared" si="11"/>
        <v>12298647.696369348</v>
      </c>
    </row>
    <row r="32" spans="1:13">
      <c r="A32" s="525">
        <v>21</v>
      </c>
      <c r="B32" s="228">
        <f t="shared" si="9"/>
        <v>75</v>
      </c>
      <c r="C32" s="527">
        <f t="shared" si="10"/>
        <v>2785700.8359284368</v>
      </c>
      <c r="D32" s="526">
        <f t="shared" si="5"/>
        <v>1160905.3387458553</v>
      </c>
      <c r="E32" s="526">
        <f t="shared" si="1"/>
        <v>96742.111562154605</v>
      </c>
      <c r="F32" s="527">
        <f t="shared" si="2"/>
        <v>1624795.4971825816</v>
      </c>
      <c r="G32" s="527">
        <f t="shared" si="6"/>
        <v>1</v>
      </c>
      <c r="H32" s="527">
        <f t="shared" si="3"/>
        <v>165729.14071262331</v>
      </c>
      <c r="I32" s="527">
        <f t="shared" si="7"/>
        <v>0</v>
      </c>
      <c r="J32" s="527">
        <f t="shared" si="8"/>
        <v>21</v>
      </c>
      <c r="K32" s="526">
        <f t="shared" si="4"/>
        <v>1790524.6378952051</v>
      </c>
      <c r="L32" s="540">
        <f t="shared" si="11"/>
        <v>13459553.035115203</v>
      </c>
    </row>
    <row r="33" spans="1:12">
      <c r="A33" s="525">
        <v>22</v>
      </c>
      <c r="B33" s="228">
        <f t="shared" si="9"/>
        <v>76</v>
      </c>
      <c r="C33" s="527">
        <f t="shared" si="10"/>
        <v>1790524.6378952051</v>
      </c>
      <c r="D33" s="526">
        <f t="shared" si="5"/>
        <v>1242168.7124580652</v>
      </c>
      <c r="E33" s="526">
        <f t="shared" si="1"/>
        <v>103514.05937150544</v>
      </c>
      <c r="F33" s="527">
        <f t="shared" si="2"/>
        <v>548355.92543713981</v>
      </c>
      <c r="G33" s="527">
        <f t="shared" si="6"/>
        <v>1</v>
      </c>
      <c r="H33" s="527">
        <f t="shared" si="3"/>
        <v>55932.30439458826</v>
      </c>
      <c r="I33" s="527">
        <f t="shared" si="7"/>
        <v>0</v>
      </c>
      <c r="J33" s="527">
        <f t="shared" si="8"/>
        <v>22</v>
      </c>
      <c r="K33" s="526">
        <f t="shared" si="4"/>
        <v>604288.22983172815</v>
      </c>
      <c r="L33" s="540">
        <f t="shared" si="11"/>
        <v>14701721.747573268</v>
      </c>
    </row>
    <row r="34" spans="1:12">
      <c r="A34" s="525">
        <v>23</v>
      </c>
      <c r="B34" s="228">
        <f t="shared" si="9"/>
        <v>77</v>
      </c>
      <c r="C34" s="527">
        <f t="shared" si="10"/>
        <v>604288.22983172815</v>
      </c>
      <c r="D34" s="526">
        <f t="shared" si="5"/>
        <v>1329120.52233013</v>
      </c>
      <c r="E34" s="526">
        <f t="shared" si="1"/>
        <v>110760.04352751083</v>
      </c>
      <c r="F34" s="527">
        <f t="shared" si="2"/>
        <v>-724832.29249840183</v>
      </c>
      <c r="G34" s="527">
        <f t="shared" si="6"/>
        <v>0</v>
      </c>
      <c r="H34" s="527">
        <f t="shared" si="3"/>
        <v>-73932.893834836985</v>
      </c>
      <c r="I34" s="527">
        <f t="shared" si="7"/>
        <v>0</v>
      </c>
      <c r="J34" s="527">
        <f t="shared" si="8"/>
        <v>23</v>
      </c>
      <c r="K34" s="526">
        <f t="shared" si="4"/>
        <v>-798765.18633323885</v>
      </c>
      <c r="L34" s="540">
        <f t="shared" si="11"/>
        <v>16030842.269903397</v>
      </c>
    </row>
    <row r="35" spans="1:12">
      <c r="A35" s="525">
        <v>24</v>
      </c>
      <c r="B35" s="228">
        <f t="shared" si="9"/>
        <v>78</v>
      </c>
      <c r="C35" s="527">
        <f t="shared" si="10"/>
        <v>-798765.18633323885</v>
      </c>
      <c r="D35" s="526">
        <f t="shared" si="5"/>
        <v>1422158.9588932393</v>
      </c>
      <c r="E35" s="526">
        <f t="shared" si="1"/>
        <v>118513.24657443661</v>
      </c>
      <c r="F35" s="527">
        <f t="shared" si="2"/>
        <v>-2220924.1452264781</v>
      </c>
      <c r="G35" s="527">
        <f t="shared" si="6"/>
        <v>0</v>
      </c>
      <c r="H35" s="527">
        <f t="shared" si="3"/>
        <v>-226534.26281310077</v>
      </c>
      <c r="I35" s="527">
        <f t="shared" si="7"/>
        <v>0</v>
      </c>
      <c r="J35" s="527">
        <f t="shared" si="8"/>
        <v>24</v>
      </c>
      <c r="K35" s="526">
        <f t="shared" si="4"/>
        <v>-2447458.4080395792</v>
      </c>
      <c r="L35" s="540">
        <f t="shared" si="11"/>
        <v>17453001.228796635</v>
      </c>
    </row>
    <row r="36" spans="1:12">
      <c r="A36" s="525">
        <v>25</v>
      </c>
      <c r="B36" s="228">
        <f t="shared" si="9"/>
        <v>79</v>
      </c>
      <c r="C36" s="527">
        <f t="shared" si="10"/>
        <v>-2447458.4080395792</v>
      </c>
      <c r="D36" s="526">
        <f t="shared" si="5"/>
        <v>1521710.086015766</v>
      </c>
      <c r="E36" s="526">
        <f t="shared" si="1"/>
        <v>126809.17383464717</v>
      </c>
      <c r="F36" s="527">
        <f t="shared" si="2"/>
        <v>-3969168.4940553452</v>
      </c>
      <c r="G36" s="527">
        <f t="shared" si="6"/>
        <v>0</v>
      </c>
      <c r="H36" s="527">
        <f t="shared" si="3"/>
        <v>-404855.18639364518</v>
      </c>
      <c r="I36" s="527">
        <f t="shared" si="7"/>
        <v>0</v>
      </c>
      <c r="J36" s="527">
        <f t="shared" si="8"/>
        <v>25</v>
      </c>
      <c r="K36" s="526">
        <f t="shared" si="4"/>
        <v>-4374023.6804489903</v>
      </c>
      <c r="L36" s="540">
        <f t="shared" si="11"/>
        <v>18974711.314812399</v>
      </c>
    </row>
    <row r="37" spans="1:12">
      <c r="A37" s="525">
        <v>26</v>
      </c>
      <c r="B37" s="228">
        <f t="shared" si="9"/>
        <v>80</v>
      </c>
      <c r="C37" s="527">
        <f t="shared" si="10"/>
        <v>-4374023.6804489903</v>
      </c>
      <c r="D37" s="526">
        <f t="shared" si="5"/>
        <v>1628229.7920368698</v>
      </c>
      <c r="E37" s="526">
        <f t="shared" si="1"/>
        <v>135685.81600307248</v>
      </c>
      <c r="F37" s="527">
        <f t="shared" si="2"/>
        <v>-6002253.4724858599</v>
      </c>
      <c r="G37" s="527">
        <f t="shared" si="6"/>
        <v>0</v>
      </c>
      <c r="H37" s="527">
        <f t="shared" si="3"/>
        <v>-612229.85419355764</v>
      </c>
      <c r="I37" s="527">
        <f t="shared" si="7"/>
        <v>0</v>
      </c>
      <c r="J37" s="527">
        <f t="shared" si="8"/>
        <v>26</v>
      </c>
      <c r="K37" s="526">
        <f t="shared" si="4"/>
        <v>-6614483.3266794179</v>
      </c>
      <c r="L37" s="540">
        <f t="shared" si="11"/>
        <v>20602941.106849268</v>
      </c>
    </row>
    <row r="38" spans="1:12">
      <c r="A38" s="525">
        <v>27</v>
      </c>
      <c r="B38" s="228">
        <f t="shared" si="9"/>
        <v>81</v>
      </c>
      <c r="C38" s="527">
        <f t="shared" si="10"/>
        <v>-6614483.3266794179</v>
      </c>
      <c r="D38" s="526">
        <f t="shared" si="5"/>
        <v>1742205.8774794508</v>
      </c>
      <c r="E38" s="526">
        <f t="shared" si="1"/>
        <v>145183.82312328756</v>
      </c>
      <c r="F38" s="527">
        <f t="shared" si="2"/>
        <v>-8356689.2041588686</v>
      </c>
      <c r="G38" s="527">
        <f t="shared" si="6"/>
        <v>0</v>
      </c>
      <c r="H38" s="527">
        <f t="shared" si="3"/>
        <v>-852382.2988242046</v>
      </c>
      <c r="I38" s="527">
        <f t="shared" si="7"/>
        <v>0</v>
      </c>
      <c r="J38" s="527">
        <f t="shared" si="8"/>
        <v>27</v>
      </c>
      <c r="K38" s="526">
        <f t="shared" si="4"/>
        <v>-9209071.5029830746</v>
      </c>
      <c r="L38" s="540">
        <f t="shared" si="11"/>
        <v>22345146.984328717</v>
      </c>
    </row>
    <row r="39" spans="1:12">
      <c r="A39" s="525">
        <v>28</v>
      </c>
      <c r="B39" s="228">
        <f t="shared" si="9"/>
        <v>82</v>
      </c>
      <c r="C39" s="527">
        <f t="shared" si="10"/>
        <v>-9209071.5029830746</v>
      </c>
      <c r="D39" s="526">
        <f t="shared" si="5"/>
        <v>1864160.2889030124</v>
      </c>
      <c r="E39" s="526">
        <f t="shared" si="1"/>
        <v>155346.6907419177</v>
      </c>
      <c r="F39" s="527">
        <f t="shared" si="2"/>
        <v>-11073231.791886088</v>
      </c>
      <c r="G39" s="527">
        <f t="shared" si="6"/>
        <v>0</v>
      </c>
      <c r="H39" s="527">
        <f t="shared" si="3"/>
        <v>-1129469.642772381</v>
      </c>
      <c r="I39" s="527">
        <f t="shared" si="7"/>
        <v>0</v>
      </c>
      <c r="J39" s="527">
        <f t="shared" si="8"/>
        <v>28</v>
      </c>
      <c r="K39" s="526">
        <f t="shared" si="4"/>
        <v>-12202701.43465847</v>
      </c>
      <c r="L39" s="540">
        <f t="shared" si="11"/>
        <v>24209307.27323173</v>
      </c>
    </row>
    <row r="40" spans="1:12">
      <c r="A40" s="525">
        <v>29</v>
      </c>
      <c r="B40" s="228">
        <f t="shared" si="9"/>
        <v>83</v>
      </c>
      <c r="C40" s="527">
        <f t="shared" si="10"/>
        <v>-12202701.43465847</v>
      </c>
      <c r="D40" s="526">
        <f t="shared" si="5"/>
        <v>1994651.5091262234</v>
      </c>
      <c r="E40" s="526">
        <f t="shared" si="1"/>
        <v>166220.95909385194</v>
      </c>
      <c r="F40" s="527">
        <f t="shared" si="2"/>
        <v>-14197352.943784693</v>
      </c>
      <c r="G40" s="527">
        <f t="shared" si="6"/>
        <v>0</v>
      </c>
      <c r="H40" s="527">
        <f t="shared" si="3"/>
        <v>-1448130.0002660386</v>
      </c>
      <c r="I40" s="527">
        <f t="shared" si="7"/>
        <v>0</v>
      </c>
      <c r="J40" s="527">
        <f t="shared" si="8"/>
        <v>29</v>
      </c>
      <c r="K40" s="526">
        <f t="shared" si="4"/>
        <v>-15645482.944050733</v>
      </c>
      <c r="L40" s="540">
        <f t="shared" si="11"/>
        <v>26203958.782357953</v>
      </c>
    </row>
    <row r="41" spans="1:12">
      <c r="A41" s="525">
        <v>30</v>
      </c>
      <c r="B41" s="228">
        <f t="shared" si="9"/>
        <v>84</v>
      </c>
      <c r="C41" s="527">
        <f t="shared" si="10"/>
        <v>-15645482.944050733</v>
      </c>
      <c r="D41" s="526">
        <f t="shared" si="5"/>
        <v>2134277.1147650592</v>
      </c>
      <c r="E41" s="526">
        <f t="shared" si="1"/>
        <v>177856.42623042161</v>
      </c>
      <c r="F41" s="527">
        <f t="shared" si="2"/>
        <v>-17779760.058815792</v>
      </c>
      <c r="G41" s="527">
        <f t="shared" si="6"/>
        <v>0</v>
      </c>
      <c r="H41" s="527">
        <f t="shared" si="3"/>
        <v>-1813535.5259992108</v>
      </c>
      <c r="I41" s="527">
        <f t="shared" si="7"/>
        <v>0</v>
      </c>
      <c r="J41" s="527">
        <f t="shared" si="8"/>
        <v>30</v>
      </c>
      <c r="K41" s="526">
        <f t="shared" si="4"/>
        <v>-19593295.584815003</v>
      </c>
      <c r="L41" s="540">
        <f t="shared" si="11"/>
        <v>28338235.897123013</v>
      </c>
    </row>
    <row r="42" spans="1:12">
      <c r="A42" s="525">
        <v>31</v>
      </c>
      <c r="B42" s="228">
        <f t="shared" si="9"/>
        <v>85</v>
      </c>
      <c r="C42" s="527">
        <f t="shared" si="10"/>
        <v>-19593295.584815003</v>
      </c>
      <c r="D42" s="526">
        <f t="shared" si="5"/>
        <v>2283676.5127986134</v>
      </c>
      <c r="E42" s="526">
        <f t="shared" si="1"/>
        <v>190306.37606655111</v>
      </c>
      <c r="F42" s="527">
        <f t="shared" si="2"/>
        <v>-21876972.097613618</v>
      </c>
      <c r="G42" s="527">
        <f t="shared" si="6"/>
        <v>0</v>
      </c>
      <c r="H42" s="527">
        <f t="shared" si="3"/>
        <v>-2231451.1539565888</v>
      </c>
      <c r="I42" s="527">
        <f t="shared" si="7"/>
        <v>0</v>
      </c>
      <c r="J42" s="527">
        <f t="shared" si="8"/>
        <v>31</v>
      </c>
      <c r="K42" s="526">
        <f t="shared" si="4"/>
        <v>-24108423.25157021</v>
      </c>
      <c r="L42" s="540">
        <f t="shared" si="11"/>
        <v>30621912.409921627</v>
      </c>
    </row>
    <row r="43" spans="1:12">
      <c r="A43" s="525">
        <v>32</v>
      </c>
      <c r="B43" s="228">
        <f t="shared" si="9"/>
        <v>86</v>
      </c>
      <c r="C43" s="527">
        <f t="shared" si="10"/>
        <v>-24108423.25157021</v>
      </c>
      <c r="D43" s="526">
        <f t="shared" si="5"/>
        <v>2443533.8686945164</v>
      </c>
      <c r="E43" s="526">
        <f t="shared" si="1"/>
        <v>203627.82239120969</v>
      </c>
      <c r="F43" s="527">
        <f t="shared" si="2"/>
        <v>-26551957.120264728</v>
      </c>
      <c r="G43" s="527">
        <f t="shared" si="6"/>
        <v>0</v>
      </c>
      <c r="H43" s="527">
        <f t="shared" si="3"/>
        <v>-2708299.626267002</v>
      </c>
      <c r="I43" s="527">
        <f t="shared" si="7"/>
        <v>0</v>
      </c>
      <c r="J43" s="527">
        <f t="shared" si="8"/>
        <v>32</v>
      </c>
      <c r="K43" s="526">
        <f t="shared" si="4"/>
        <v>-29260256.746531732</v>
      </c>
      <c r="L43" s="540">
        <f t="shared" si="11"/>
        <v>33065446.278616145</v>
      </c>
    </row>
    <row r="44" spans="1:12">
      <c r="A44" s="525">
        <v>33</v>
      </c>
      <c r="B44" s="228">
        <f t="shared" si="9"/>
        <v>87</v>
      </c>
      <c r="C44" s="527">
        <f t="shared" si="10"/>
        <v>-29260256.746531732</v>
      </c>
      <c r="D44" s="526">
        <f t="shared" si="5"/>
        <v>2614581.2395031326</v>
      </c>
      <c r="E44" s="526">
        <f t="shared" si="1"/>
        <v>217881.76995859438</v>
      </c>
      <c r="F44" s="527">
        <f t="shared" si="2"/>
        <v>-31874837.986034866</v>
      </c>
      <c r="G44" s="527">
        <f t="shared" si="6"/>
        <v>0</v>
      </c>
      <c r="H44" s="527">
        <f t="shared" si="3"/>
        <v>-3251233.4745755563</v>
      </c>
      <c r="I44" s="527">
        <f t="shared" si="7"/>
        <v>0</v>
      </c>
      <c r="J44" s="527">
        <f t="shared" si="8"/>
        <v>33</v>
      </c>
      <c r="K44" s="526">
        <f t="shared" si="4"/>
        <v>-35126071.460610427</v>
      </c>
      <c r="L44" s="540">
        <f t="shared" si="11"/>
        <v>35680027.518119276</v>
      </c>
    </row>
    <row r="45" spans="1:12">
      <c r="A45" s="525">
        <v>34</v>
      </c>
      <c r="B45" s="228">
        <f t="shared" si="9"/>
        <v>88</v>
      </c>
      <c r="C45" s="527">
        <f t="shared" si="10"/>
        <v>-35126071.460610427</v>
      </c>
      <c r="D45" s="526">
        <f t="shared" si="5"/>
        <v>2797601.9262683522</v>
      </c>
      <c r="E45" s="526">
        <f t="shared" si="1"/>
        <v>233133.49385569603</v>
      </c>
      <c r="F45" s="527">
        <f t="shared" si="2"/>
        <v>-37923673.386878781</v>
      </c>
      <c r="G45" s="527">
        <f t="shared" si="6"/>
        <v>0</v>
      </c>
      <c r="H45" s="527">
        <f t="shared" si="3"/>
        <v>-3868214.6854616352</v>
      </c>
      <c r="I45" s="527">
        <f t="shared" si="7"/>
        <v>0</v>
      </c>
      <c r="J45" s="527">
        <f t="shared" si="8"/>
        <v>34</v>
      </c>
      <c r="K45" s="526">
        <f t="shared" si="4"/>
        <v>-41791888.072340421</v>
      </c>
      <c r="L45" s="540">
        <f t="shared" si="11"/>
        <v>38477629.44438763</v>
      </c>
    </row>
    <row r="46" spans="1:12">
      <c r="A46" s="525">
        <v>35</v>
      </c>
      <c r="B46" s="228">
        <f t="shared" si="9"/>
        <v>89</v>
      </c>
      <c r="C46" s="527">
        <f t="shared" si="10"/>
        <v>-41791888.072340421</v>
      </c>
      <c r="D46" s="526">
        <f t="shared" si="5"/>
        <v>2993434.0611071372</v>
      </c>
      <c r="E46" s="526">
        <f t="shared" si="1"/>
        <v>249452.83842559476</v>
      </c>
      <c r="F46" s="527">
        <f t="shared" si="2"/>
        <v>-44785322.133447558</v>
      </c>
      <c r="G46" s="527">
        <f t="shared" si="6"/>
        <v>0</v>
      </c>
      <c r="H46" s="527">
        <f t="shared" si="3"/>
        <v>-4568102.8576116506</v>
      </c>
      <c r="I46" s="527">
        <f t="shared" si="7"/>
        <v>0</v>
      </c>
      <c r="J46" s="527">
        <f t="shared" si="8"/>
        <v>35</v>
      </c>
      <c r="K46" s="526">
        <f t="shared" si="4"/>
        <v>-49353424.991059214</v>
      </c>
      <c r="L46" s="540">
        <f t="shared" si="11"/>
        <v>41471063.505494766</v>
      </c>
    </row>
    <row r="47" spans="1:12">
      <c r="A47" s="525">
        <v>36</v>
      </c>
      <c r="B47" s="228">
        <f t="shared" si="9"/>
        <v>90</v>
      </c>
      <c r="C47" s="527">
        <f t="shared" si="10"/>
        <v>-49353424.991059214</v>
      </c>
      <c r="D47" s="526">
        <f t="shared" si="5"/>
        <v>3202974.445384637</v>
      </c>
      <c r="E47" s="526">
        <f t="shared" si="1"/>
        <v>266914.5371153864</v>
      </c>
      <c r="F47" s="527">
        <f t="shared" si="2"/>
        <v>-52556399.43644385</v>
      </c>
      <c r="G47" s="527">
        <f t="shared" si="6"/>
        <v>0</v>
      </c>
      <c r="H47" s="527">
        <f t="shared" si="3"/>
        <v>-5360752.742517272</v>
      </c>
      <c r="I47" s="527">
        <f t="shared" si="7"/>
        <v>0</v>
      </c>
      <c r="J47" s="527">
        <f t="shared" si="8"/>
        <v>36</v>
      </c>
      <c r="K47" s="526">
        <f t="shared" si="4"/>
        <v>-57917152.178961128</v>
      </c>
      <c r="L47" s="540">
        <f t="shared" si="11"/>
        <v>44674037.950879402</v>
      </c>
    </row>
    <row r="48" spans="1:12">
      <c r="A48" s="525">
        <v>37</v>
      </c>
      <c r="B48" s="228">
        <f t="shared" si="9"/>
        <v>91</v>
      </c>
      <c r="C48" s="527">
        <f t="shared" si="10"/>
        <v>-57917152.178961128</v>
      </c>
      <c r="D48" s="526">
        <f t="shared" si="5"/>
        <v>3427182.6565615619</v>
      </c>
      <c r="E48" s="526">
        <f t="shared" si="1"/>
        <v>285598.55471346347</v>
      </c>
      <c r="F48" s="527">
        <f t="shared" si="2"/>
        <v>-61344334.835522689</v>
      </c>
      <c r="G48" s="527">
        <f t="shared" si="6"/>
        <v>0</v>
      </c>
      <c r="H48" s="527">
        <f t="shared" si="3"/>
        <v>-6257122.1532233143</v>
      </c>
      <c r="I48" s="527">
        <f t="shared" si="7"/>
        <v>0</v>
      </c>
      <c r="J48" s="527">
        <f t="shared" si="8"/>
        <v>37</v>
      </c>
      <c r="K48" s="526">
        <f t="shared" si="4"/>
        <v>-67601456.988746002</v>
      </c>
      <c r="L48" s="540">
        <f t="shared" si="11"/>
        <v>48101220.607440963</v>
      </c>
    </row>
    <row r="49" spans="1:12">
      <c r="A49" s="525">
        <v>38</v>
      </c>
      <c r="B49" s="228">
        <f t="shared" si="9"/>
        <v>92</v>
      </c>
      <c r="C49" s="527">
        <f t="shared" si="10"/>
        <v>-67601456.988746002</v>
      </c>
      <c r="D49" s="526">
        <f t="shared" si="5"/>
        <v>3667085.4425208713</v>
      </c>
      <c r="E49" s="526">
        <f t="shared" si="1"/>
        <v>305590.45354340592</v>
      </c>
      <c r="F49" s="527">
        <f t="shared" si="2"/>
        <v>-71268542.431266874</v>
      </c>
      <c r="G49" s="527">
        <f t="shared" si="6"/>
        <v>0</v>
      </c>
      <c r="H49" s="527">
        <f t="shared" si="3"/>
        <v>-7269391.3279892206</v>
      </c>
      <c r="I49" s="527">
        <f t="shared" si="7"/>
        <v>0</v>
      </c>
      <c r="J49" s="527">
        <f t="shared" si="8"/>
        <v>38</v>
      </c>
      <c r="K49" s="526">
        <f t="shared" si="4"/>
        <v>-78537933.759256095</v>
      </c>
      <c r="L49" s="540">
        <f t="shared" si="11"/>
        <v>51768306.049961835</v>
      </c>
    </row>
    <row r="50" spans="1:12">
      <c r="A50" s="525">
        <v>39</v>
      </c>
      <c r="B50" s="228">
        <f t="shared" si="9"/>
        <v>93</v>
      </c>
      <c r="C50" s="527">
        <f t="shared" si="10"/>
        <v>-78537933.759256095</v>
      </c>
      <c r="D50" s="526">
        <f t="shared" si="5"/>
        <v>3923781.4234973327</v>
      </c>
      <c r="E50" s="526">
        <f t="shared" si="1"/>
        <v>326981.78529144439</v>
      </c>
      <c r="F50" s="527">
        <f t="shared" si="2"/>
        <v>-82461715.182753429</v>
      </c>
      <c r="G50" s="527">
        <f t="shared" si="6"/>
        <v>0</v>
      </c>
      <c r="H50" s="527">
        <f t="shared" si="3"/>
        <v>-8411094.9486408494</v>
      </c>
      <c r="I50" s="527">
        <f t="shared" si="7"/>
        <v>0</v>
      </c>
      <c r="J50" s="527">
        <f t="shared" si="8"/>
        <v>39</v>
      </c>
      <c r="K50" s="526">
        <f t="shared" si="4"/>
        <v>-90872810.131394282</v>
      </c>
      <c r="L50" s="540">
        <f t="shared" si="11"/>
        <v>55692087.473459169</v>
      </c>
    </row>
    <row r="51" spans="1:12">
      <c r="A51" s="525">
        <v>40</v>
      </c>
      <c r="B51" s="228">
        <f t="shared" si="9"/>
        <v>94</v>
      </c>
      <c r="C51" s="527">
        <f t="shared" si="10"/>
        <v>-90872810.131394282</v>
      </c>
      <c r="D51" s="526">
        <f t="shared" si="5"/>
        <v>4198446.1231421465</v>
      </c>
      <c r="E51" s="526">
        <f t="shared" si="1"/>
        <v>349870.51026184554</v>
      </c>
      <c r="F51" s="527">
        <f t="shared" si="2"/>
        <v>-95071256.254536435</v>
      </c>
      <c r="G51" s="527">
        <f t="shared" si="6"/>
        <v>0</v>
      </c>
      <c r="H51" s="527">
        <f t="shared" si="3"/>
        <v>-9697268.1379627157</v>
      </c>
      <c r="I51" s="527">
        <f t="shared" si="7"/>
        <v>0</v>
      </c>
      <c r="J51" s="527">
        <f t="shared" si="8"/>
        <v>40</v>
      </c>
      <c r="K51" s="526">
        <f t="shared" si="4"/>
        <v>-104768524.39249916</v>
      </c>
      <c r="L51" s="540">
        <f t="shared" si="11"/>
        <v>59890533.596601315</v>
      </c>
    </row>
    <row r="52" spans="1:12">
      <c r="A52" s="525">
        <v>41</v>
      </c>
      <c r="B52" s="228">
        <f t="shared" si="9"/>
        <v>95</v>
      </c>
      <c r="C52" s="527">
        <f t="shared" si="10"/>
        <v>-104768524.39249916</v>
      </c>
      <c r="D52" s="526">
        <f t="shared" si="5"/>
        <v>4492337.3517620973</v>
      </c>
      <c r="E52" s="526">
        <f t="shared" si="1"/>
        <v>374361.44598017476</v>
      </c>
      <c r="F52" s="527">
        <f t="shared" si="2"/>
        <v>-109260861.74426126</v>
      </c>
      <c r="G52" s="527">
        <f t="shared" si="6"/>
        <v>0</v>
      </c>
      <c r="H52" s="527">
        <f t="shared" si="3"/>
        <v>-11144607.897914648</v>
      </c>
      <c r="I52" s="527">
        <f t="shared" si="7"/>
        <v>0</v>
      </c>
      <c r="J52" s="527">
        <f t="shared" si="8"/>
        <v>41</v>
      </c>
      <c r="K52" s="526">
        <f t="shared" si="4"/>
        <v>-120405469.64217593</v>
      </c>
      <c r="L52" s="540">
        <f t="shared" si="11"/>
        <v>64382870.948363408</v>
      </c>
    </row>
  </sheetData>
  <sheetProtection algorithmName="SHA-512" hashValue="tGJ1LxZsCQJ2dlNNxjBIVpvA57qByumM5jk8bWNCOmJaXlGm5LKTXbrT3ZquY7i9mJXs/YCR1rRur7w4Iobo0Q==" saltValue="TXq7IG7rkgeJJWx/ifvn4w==" spinCount="100000" sheet="1" objects="1"/>
  <mergeCells count="14">
    <mergeCell ref="A1:D1"/>
    <mergeCell ref="F1:H1"/>
    <mergeCell ref="K1:O1"/>
    <mergeCell ref="A2:C2"/>
    <mergeCell ref="F2:H2"/>
    <mergeCell ref="K2:O2"/>
    <mergeCell ref="A5:C5"/>
    <mergeCell ref="P5:Q5"/>
    <mergeCell ref="A3:C3"/>
    <mergeCell ref="F3:H3"/>
    <mergeCell ref="K3:O3"/>
    <mergeCell ref="A4:C4"/>
    <mergeCell ref="F4:H4"/>
    <mergeCell ref="K4:O4"/>
  </mergeCells>
  <conditionalFormatting sqref="H12:J52">
    <cfRule type="expression" priority="1">
      <formula>"G8&gt;D8"</formula>
    </cfRule>
  </conditionalFormatting>
  <dataValidations count="3">
    <dataValidation type="custom" allowBlank="1" showInputMessage="1" showErrorMessage="1" sqref="P3" xr:uid="{00000000-0002-0000-0600-000000000000}">
      <formula1>IF(1=1,SUM(P2:P4)&lt;=100%,"")</formula1>
    </dataValidation>
    <dataValidation type="custom" allowBlank="1" showInputMessage="1" showErrorMessage="1" sqref="P2" xr:uid="{00000000-0002-0000-0600-000001000000}">
      <formula1>IF(1=1,SUM(P2:P4)&lt;=100%,"")</formula1>
    </dataValidation>
    <dataValidation type="custom" allowBlank="1" showInputMessage="1" showErrorMessage="1" sqref="P4" xr:uid="{00000000-0002-0000-0600-000002000000}">
      <formula1>IF(1=1,SUM(P2:P4)&lt;=100%,"")</formula1>
    </dataValidation>
  </dataValidations>
  <pageMargins left="0.25138888888888899" right="0.25138888888888899" top="0.75138888888888899" bottom="0.75138888888888899" header="0.29861111111111099" footer="0.29861111111111099"/>
  <pageSetup paperSize="9" scale="90" orientation="landscape"/>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X64"/>
  <sheetViews>
    <sheetView showGridLines="0" workbookViewId="0">
      <selection activeCell="D4" sqref="D4"/>
    </sheetView>
  </sheetViews>
  <sheetFormatPr defaultColWidth="0" defaultRowHeight="13.2" zeroHeight="1"/>
  <cols>
    <col min="1" max="1" width="4.21875" style="13" customWidth="1"/>
    <col min="2" max="2" width="11.33203125" style="13" customWidth="1"/>
    <col min="3" max="3" width="13.77734375" style="13" customWidth="1"/>
    <col min="4" max="4" width="14.44140625" style="13" customWidth="1"/>
    <col min="5" max="5" width="6.44140625" style="13" customWidth="1"/>
    <col min="6" max="6" width="11.33203125" style="13" customWidth="1"/>
    <col min="7" max="7" width="13.77734375" style="13" customWidth="1"/>
    <col min="8" max="8" width="14.44140625" style="13" customWidth="1"/>
    <col min="9" max="9" width="10.6640625" style="13" customWidth="1"/>
    <col min="10" max="10" width="10.6640625" style="13" hidden="1" customWidth="1"/>
    <col min="11" max="14" width="10.6640625" style="13" customWidth="1"/>
    <col min="15" max="15" width="13.33203125" style="13" hidden="1" customWidth="1"/>
    <col min="16" max="16" width="3" style="13" hidden="1" customWidth="1"/>
    <col min="17" max="17" width="10.6640625" style="13" hidden="1" customWidth="1"/>
    <col min="18" max="18" width="4.6640625" style="13" hidden="1" customWidth="1"/>
    <col min="19" max="19" width="3" style="13" hidden="1" customWidth="1"/>
    <col min="20" max="20" width="4.6640625" style="13" hidden="1" customWidth="1"/>
    <col min="21" max="21" width="3" style="13" hidden="1" customWidth="1"/>
    <col min="22" max="24" width="10.6640625" style="13" hidden="1" customWidth="1"/>
    <col min="25" max="16384" width="9.21875" style="13" hidden="1"/>
  </cols>
  <sheetData>
    <row r="1" spans="2:21" ht="22.5" customHeight="1">
      <c r="B1" s="483" t="s">
        <v>130</v>
      </c>
      <c r="C1" s="484"/>
      <c r="D1" s="484"/>
      <c r="E1" s="484"/>
      <c r="F1" s="484"/>
      <c r="G1" s="484"/>
      <c r="H1" s="484"/>
      <c r="N1" s="502"/>
      <c r="O1" s="502">
        <f>FV(D8*(1-10%),VLOOKUP(D4,O4:P34,2,0),,-D3,)</f>
        <v>5000000</v>
      </c>
    </row>
    <row r="2" spans="2:21" ht="14.4">
      <c r="B2" s="847" t="s">
        <v>131</v>
      </c>
      <c r="C2" s="847"/>
      <c r="D2" s="390">
        <v>30</v>
      </c>
      <c r="F2" s="485" t="s">
        <v>132</v>
      </c>
      <c r="G2" s="485"/>
      <c r="H2" s="402">
        <v>0.312</v>
      </c>
      <c r="O2" s="502">
        <f>FV(J8,VLOOKUP(D4,O4:P34,2,0),,-D3,)</f>
        <v>5000000</v>
      </c>
    </row>
    <row r="3" spans="2:21" s="462" customFormat="1" ht="18" customHeight="1">
      <c r="B3" s="847" t="s">
        <v>133</v>
      </c>
      <c r="C3" s="847"/>
      <c r="D3" s="393">
        <v>5000000</v>
      </c>
      <c r="F3" s="486" t="s">
        <v>134</v>
      </c>
      <c r="G3" s="487"/>
      <c r="H3" s="488">
        <v>25000</v>
      </c>
      <c r="N3" s="503"/>
    </row>
    <row r="4" spans="2:21" s="462" customFormat="1" ht="18" customHeight="1">
      <c r="B4" s="847" t="s">
        <v>135</v>
      </c>
      <c r="C4" s="848"/>
      <c r="D4" s="489" t="s">
        <v>136</v>
      </c>
      <c r="F4" s="490" t="s">
        <v>29</v>
      </c>
      <c r="H4" s="391">
        <v>7.0000000000000007E-2</v>
      </c>
      <c r="O4" s="474" t="s">
        <v>136</v>
      </c>
      <c r="P4" s="462">
        <v>0</v>
      </c>
    </row>
    <row r="5" spans="2:21" s="462" customFormat="1" ht="18" customHeight="1">
      <c r="B5" s="797" t="s">
        <v>21</v>
      </c>
      <c r="C5" s="797"/>
      <c r="D5" s="797"/>
      <c r="F5" s="490"/>
      <c r="H5" s="491"/>
      <c r="O5" s="462" t="s">
        <v>137</v>
      </c>
      <c r="P5" s="462">
        <v>1</v>
      </c>
    </row>
    <row r="6" spans="2:21" s="482" customFormat="1" ht="18" customHeight="1">
      <c r="B6" s="797"/>
      <c r="C6" s="797"/>
      <c r="D6" s="797"/>
      <c r="F6" s="492"/>
      <c r="H6" s="493"/>
      <c r="K6" s="504"/>
      <c r="O6" s="474" t="s">
        <v>138</v>
      </c>
      <c r="P6" s="462">
        <v>2</v>
      </c>
    </row>
    <row r="7" spans="2:21" s="462" customFormat="1" ht="18" customHeight="1">
      <c r="B7" s="849" t="s">
        <v>139</v>
      </c>
      <c r="C7" s="850"/>
      <c r="D7" s="850"/>
      <c r="F7" s="849" t="s">
        <v>140</v>
      </c>
      <c r="G7" s="850"/>
      <c r="H7" s="850"/>
      <c r="O7" s="474" t="s">
        <v>141</v>
      </c>
      <c r="P7" s="462">
        <v>3</v>
      </c>
    </row>
    <row r="8" spans="2:21" s="462" customFormat="1" ht="18" customHeight="1">
      <c r="B8" s="486" t="s">
        <v>142</v>
      </c>
      <c r="C8" s="494"/>
      <c r="D8" s="495">
        <v>0.10199999999999999</v>
      </c>
      <c r="F8" s="486" t="s">
        <v>143</v>
      </c>
      <c r="G8" s="494"/>
      <c r="H8" s="495">
        <v>0.06</v>
      </c>
      <c r="J8" s="505">
        <f>H8*(1-H2)</f>
        <v>4.1279999999999997E-2</v>
      </c>
      <c r="O8" s="474" t="s">
        <v>144</v>
      </c>
      <c r="P8" s="462">
        <v>4</v>
      </c>
    </row>
    <row r="9" spans="2:21" s="462" customFormat="1" ht="18" customHeight="1">
      <c r="B9" s="496" t="str">
        <f ca="1">IF(D10&lt;=0,"Portfolio will get exhausted after "&amp;VLOOKUP("YES",R13:S62,2,0)-1&amp;" years","Portfolio Value at the end of "&amp;D2&amp;" years")</f>
        <v>Portfolio will get exhausted after 19 years</v>
      </c>
      <c r="C9" s="486"/>
      <c r="D9" s="487"/>
      <c r="E9" s="487"/>
      <c r="F9" s="496" t="str">
        <f ca="1">IF(H10&lt;=0,"Portfolio will get exhausted after "&amp;VLOOKUP("YES",T13:U62,2,0)-1&amp;" years","Portfolio Value at the end of "&amp;D2&amp;" years")</f>
        <v>Portfolio will get exhausted after 13 years</v>
      </c>
      <c r="G9" s="486"/>
      <c r="H9" s="487"/>
      <c r="I9" s="487"/>
      <c r="O9" s="474" t="s">
        <v>145</v>
      </c>
      <c r="P9" s="462">
        <v>5</v>
      </c>
    </row>
    <row r="10" spans="2:21" s="462" customFormat="1" ht="18" customHeight="1">
      <c r="C10" s="486"/>
      <c r="D10" s="497">
        <f ca="1">INDIRECT(ADDRESS(12+D2,4))</f>
        <v>-25557927.160855439</v>
      </c>
      <c r="E10" s="487"/>
      <c r="F10" s="486"/>
      <c r="G10" s="486"/>
      <c r="H10" s="497">
        <f ca="1">INDIRECT(ADDRESS(12+D2,8))</f>
        <v>-29366872.533429641</v>
      </c>
      <c r="I10" s="487"/>
      <c r="O10" s="474" t="s">
        <v>146</v>
      </c>
      <c r="P10" s="462">
        <v>6</v>
      </c>
    </row>
    <row r="11" spans="2:21" s="462" customFormat="1" ht="18" customHeight="1">
      <c r="C11" s="486"/>
      <c r="D11" s="487"/>
      <c r="E11" s="487"/>
      <c r="F11" s="486"/>
      <c r="G11" s="486"/>
      <c r="H11" s="487"/>
      <c r="I11" s="487"/>
      <c r="O11" s="474" t="s">
        <v>147</v>
      </c>
      <c r="P11" s="462">
        <v>7</v>
      </c>
    </row>
    <row r="12" spans="2:21" s="462" customFormat="1" ht="18" customHeight="1">
      <c r="B12" s="498" t="s">
        <v>94</v>
      </c>
      <c r="C12" s="498" t="s">
        <v>148</v>
      </c>
      <c r="D12" s="498" t="s">
        <v>149</v>
      </c>
      <c r="E12" s="487"/>
      <c r="F12" s="498" t="s">
        <v>94</v>
      </c>
      <c r="G12" s="498" t="s">
        <v>148</v>
      </c>
      <c r="H12" s="498" t="s">
        <v>149</v>
      </c>
      <c r="I12" s="487"/>
      <c r="O12" s="474" t="s">
        <v>150</v>
      </c>
      <c r="P12" s="462">
        <v>8</v>
      </c>
    </row>
    <row r="13" spans="2:21" s="462" customFormat="1" ht="18" customHeight="1">
      <c r="B13" s="499">
        <f ca="1">YEAR(TODAY())+VLOOKUP(D4,O4:P34,2,0)</f>
        <v>2021</v>
      </c>
      <c r="C13" s="500">
        <f ca="1">IF(B13="",0,FV($H$4,B13-YEAR(TODAY()),,-($H$3*12),))</f>
        <v>300000</v>
      </c>
      <c r="D13" s="501">
        <f ca="1">FV($D$8*(1-10.4%),1,,-(O1-C13),)</f>
        <v>5129542.3999999994</v>
      </c>
      <c r="E13" s="487"/>
      <c r="F13" s="499">
        <f ca="1">YEAR(TODAY())+VLOOKUP(D4,O4:P34,2,0)</f>
        <v>2021</v>
      </c>
      <c r="G13" s="500">
        <f ca="1">IF(F13="",0,FV($H$4,F13-YEAR(TODAY()),,-($H$3*12),))</f>
        <v>300000</v>
      </c>
      <c r="H13" s="501">
        <f ca="1">FV($J$8,1,,-(O2-G13),)</f>
        <v>4894016</v>
      </c>
      <c r="I13" s="487"/>
      <c r="J13" s="462">
        <v>1</v>
      </c>
      <c r="O13" s="474" t="s">
        <v>151</v>
      </c>
      <c r="P13" s="462">
        <v>9</v>
      </c>
      <c r="R13" s="462" t="str">
        <f ca="1">IF(D13&lt;=0,"YES","")</f>
        <v/>
      </c>
      <c r="S13" s="462">
        <v>1</v>
      </c>
      <c r="T13" s="462" t="str">
        <f ca="1">IF(H13&lt;=0,"YES","")</f>
        <v/>
      </c>
      <c r="U13" s="462">
        <v>1</v>
      </c>
    </row>
    <row r="14" spans="2:21" s="462" customFormat="1" ht="18" customHeight="1">
      <c r="B14" s="499">
        <f t="shared" ref="B14:B45" ca="1" si="0">IF(OR(B13="",J14&gt;$D$2),"",B13+1)</f>
        <v>2022</v>
      </c>
      <c r="C14" s="500">
        <f ca="1">IF(B14="","",FV($H$4,1,,-C13,))</f>
        <v>321000</v>
      </c>
      <c r="D14" s="501">
        <f ca="1">IFERROR(IF(B14="","",FV($D$8*(1-10.4%),1,,-(D13-C14),)),"")</f>
        <v>5248004.7070207987</v>
      </c>
      <c r="E14" s="487"/>
      <c r="F14" s="499">
        <f t="shared" ref="F14:F45" ca="1" si="1">IF(OR(F13="",J14&gt;$D$2),"",F13+1)</f>
        <v>2022</v>
      </c>
      <c r="G14" s="500">
        <f ca="1">IF(F14="","",FV($H$4,1,,-G13,))</f>
        <v>321000</v>
      </c>
      <c r="H14" s="501">
        <f ca="1">IFERROR(IF(F14="","",FV($J$8,1,,-(H13-G14),)),"")</f>
        <v>4761790.1004799996</v>
      </c>
      <c r="I14" s="487"/>
      <c r="J14" s="462">
        <v>2</v>
      </c>
      <c r="O14" s="474" t="s">
        <v>152</v>
      </c>
      <c r="P14" s="462">
        <v>10</v>
      </c>
      <c r="R14" s="462" t="str">
        <f t="shared" ref="R14:R62" ca="1" si="2">IF(D14&lt;=0,"YES","")</f>
        <v/>
      </c>
      <c r="S14" s="462">
        <v>2</v>
      </c>
      <c r="T14" s="462" t="str">
        <f t="shared" ref="T14:T62" ca="1" si="3">IF(H14&lt;=0,"YES","")</f>
        <v/>
      </c>
      <c r="U14" s="462">
        <v>2</v>
      </c>
    </row>
    <row r="15" spans="2:21" s="462" customFormat="1" ht="18" customHeight="1">
      <c r="B15" s="499">
        <f t="shared" ca="1" si="0"/>
        <v>2023</v>
      </c>
      <c r="C15" s="500">
        <f t="shared" ref="C15:C62" ca="1" si="4">IF(B15="","",FV($H$4,1,,-C14,))</f>
        <v>343470</v>
      </c>
      <c r="D15" s="501">
        <f t="shared" ref="D15:D62" ca="1" si="5">IFERROR(IF(B15="","",FV($D$8*(1-10.4%),1,,-(D14-C15),)),"")</f>
        <v>5352769.9429648435</v>
      </c>
      <c r="E15" s="487"/>
      <c r="F15" s="499">
        <f t="shared" ca="1" si="1"/>
        <v>2023</v>
      </c>
      <c r="G15" s="500">
        <f t="shared" ref="G15:G62" ca="1" si="6">IF(F15="","",FV($H$4,1,,-G14,))</f>
        <v>343470</v>
      </c>
      <c r="H15" s="501">
        <f t="shared" ref="H15:H62" ca="1" si="7">IFERROR(IF(F15="","",FV($J$8,1,,-(H14-G15),)),"")</f>
        <v>4600708.3542278139</v>
      </c>
      <c r="I15" s="487"/>
      <c r="J15" s="462">
        <v>3</v>
      </c>
      <c r="O15" s="474" t="s">
        <v>153</v>
      </c>
      <c r="P15" s="462">
        <v>11</v>
      </c>
      <c r="R15" s="462" t="str">
        <f t="shared" ca="1" si="2"/>
        <v/>
      </c>
      <c r="S15" s="462">
        <v>3</v>
      </c>
      <c r="T15" s="462" t="str">
        <f t="shared" ca="1" si="3"/>
        <v/>
      </c>
      <c r="U15" s="462">
        <v>3</v>
      </c>
    </row>
    <row r="16" spans="2:21" s="462" customFormat="1" ht="18" customHeight="1">
      <c r="B16" s="499">
        <f t="shared" ca="1" si="0"/>
        <v>2024</v>
      </c>
      <c r="C16" s="500">
        <f t="shared" ca="1" si="4"/>
        <v>367512.9</v>
      </c>
      <c r="D16" s="501">
        <f t="shared" ca="1" si="5"/>
        <v>5440869.6546354853</v>
      </c>
      <c r="E16" s="487"/>
      <c r="F16" s="499">
        <f t="shared" ca="1" si="1"/>
        <v>2024</v>
      </c>
      <c r="G16" s="500">
        <f t="shared" ca="1" si="6"/>
        <v>367512.9</v>
      </c>
      <c r="H16" s="501">
        <f t="shared" ca="1" si="7"/>
        <v>4407941.7625783375</v>
      </c>
      <c r="I16" s="506"/>
      <c r="J16" s="462">
        <v>4</v>
      </c>
      <c r="O16" s="474" t="s">
        <v>154</v>
      </c>
      <c r="P16" s="462">
        <v>12</v>
      </c>
      <c r="R16" s="462" t="str">
        <f t="shared" ca="1" si="2"/>
        <v/>
      </c>
      <c r="S16" s="462">
        <v>4</v>
      </c>
      <c r="T16" s="462" t="str">
        <f t="shared" ca="1" si="3"/>
        <v/>
      </c>
      <c r="U16" s="462">
        <v>4</v>
      </c>
    </row>
    <row r="17" spans="2:21" s="462" customFormat="1" ht="18" customHeight="1">
      <c r="B17" s="499">
        <f t="shared" ca="1" si="0"/>
        <v>2025</v>
      </c>
      <c r="C17" s="500">
        <f t="shared" ca="1" si="4"/>
        <v>393238.80300000007</v>
      </c>
      <c r="D17" s="501">
        <f t="shared" ca="1" si="5"/>
        <v>5508943.9304281548</v>
      </c>
      <c r="E17" s="487"/>
      <c r="F17" s="499">
        <f t="shared" ca="1" si="1"/>
        <v>2025</v>
      </c>
      <c r="G17" s="500">
        <f t="shared" ca="1" si="6"/>
        <v>393238.80300000007</v>
      </c>
      <c r="H17" s="501">
        <f t="shared" ca="1" si="7"/>
        <v>4180429.8977497309</v>
      </c>
      <c r="I17" s="506"/>
      <c r="J17" s="462">
        <v>5</v>
      </c>
      <c r="L17" s="507"/>
      <c r="O17" s="474" t="s">
        <v>155</v>
      </c>
      <c r="P17" s="462">
        <v>13</v>
      </c>
      <c r="R17" s="462" t="str">
        <f t="shared" ca="1" si="2"/>
        <v/>
      </c>
      <c r="S17" s="462">
        <v>5</v>
      </c>
      <c r="T17" s="462" t="str">
        <f t="shared" ca="1" si="3"/>
        <v/>
      </c>
      <c r="U17" s="462">
        <v>5</v>
      </c>
    </row>
    <row r="18" spans="2:21" s="462" customFormat="1" ht="18" customHeight="1">
      <c r="B18" s="499">
        <f t="shared" ca="1" si="0"/>
        <v>2026</v>
      </c>
      <c r="C18" s="500">
        <f t="shared" ca="1" si="4"/>
        <v>420765.51921000011</v>
      </c>
      <c r="D18" s="501">
        <f t="shared" ca="1" si="5"/>
        <v>5553197.212576203</v>
      </c>
      <c r="E18" s="487"/>
      <c r="F18" s="499">
        <f t="shared" ca="1" si="1"/>
        <v>2026</v>
      </c>
      <c r="G18" s="500">
        <f t="shared" ca="1" si="6"/>
        <v>420765.51921000011</v>
      </c>
      <c r="H18" s="501">
        <f t="shared" ca="1" si="7"/>
        <v>3914863.3240858507</v>
      </c>
      <c r="I18" s="506"/>
      <c r="J18" s="462">
        <v>6</v>
      </c>
      <c r="O18" s="474" t="s">
        <v>156</v>
      </c>
      <c r="P18" s="462">
        <v>14</v>
      </c>
      <c r="R18" s="462" t="str">
        <f t="shared" ca="1" si="2"/>
        <v/>
      </c>
      <c r="S18" s="462">
        <v>6</v>
      </c>
      <c r="T18" s="462" t="str">
        <f t="shared" ca="1" si="3"/>
        <v/>
      </c>
      <c r="U18" s="462">
        <v>6</v>
      </c>
    </row>
    <row r="19" spans="2:21" ht="18" customHeight="1">
      <c r="B19" s="499">
        <f t="shared" ca="1" si="0"/>
        <v>2027</v>
      </c>
      <c r="C19" s="500">
        <f t="shared" ca="1" si="4"/>
        <v>450219.10555470013</v>
      </c>
      <c r="D19" s="501">
        <f t="shared" ca="1" si="5"/>
        <v>5569349.4821784124</v>
      </c>
      <c r="F19" s="499">
        <f t="shared" ca="1" si="1"/>
        <v>2027</v>
      </c>
      <c r="G19" s="500">
        <f t="shared" ca="1" si="6"/>
        <v>450219.10555470013</v>
      </c>
      <c r="H19" s="501">
        <f t="shared" ca="1" si="7"/>
        <v>3607664.7318721162</v>
      </c>
      <c r="J19" s="462">
        <v>7</v>
      </c>
      <c r="O19" s="474" t="s">
        <v>157</v>
      </c>
      <c r="P19" s="462">
        <v>15</v>
      </c>
      <c r="R19" s="462" t="str">
        <f t="shared" ca="1" si="2"/>
        <v/>
      </c>
      <c r="S19" s="462">
        <v>7</v>
      </c>
      <c r="T19" s="462" t="str">
        <f t="shared" ca="1" si="3"/>
        <v/>
      </c>
      <c r="U19" s="462">
        <v>7</v>
      </c>
    </row>
    <row r="20" spans="2:21" ht="18" customHeight="1">
      <c r="B20" s="499">
        <f t="shared" ca="1" si="0"/>
        <v>2028</v>
      </c>
      <c r="C20" s="500">
        <f t="shared" ca="1" si="4"/>
        <v>481734.44294352917</v>
      </c>
      <c r="D20" s="501">
        <f t="shared" ca="1" si="5"/>
        <v>5552582.3529006373</v>
      </c>
      <c r="F20" s="499">
        <f t="shared" ca="1" si="1"/>
        <v>2028</v>
      </c>
      <c r="G20" s="500">
        <f t="shared" ca="1" si="6"/>
        <v>481734.44294352917</v>
      </c>
      <c r="H20" s="501">
        <f t="shared" ca="1" si="7"/>
        <v>3254968.6912555592</v>
      </c>
      <c r="J20" s="462">
        <v>8</v>
      </c>
      <c r="O20" s="474" t="s">
        <v>158</v>
      </c>
      <c r="P20" s="462">
        <v>16</v>
      </c>
      <c r="R20" s="462" t="str">
        <f t="shared" ca="1" si="2"/>
        <v/>
      </c>
      <c r="S20" s="462">
        <v>8</v>
      </c>
      <c r="T20" s="462" t="str">
        <f t="shared" ca="1" si="3"/>
        <v/>
      </c>
      <c r="U20" s="462">
        <v>8</v>
      </c>
    </row>
    <row r="21" spans="2:21" ht="18" customHeight="1">
      <c r="B21" s="499">
        <f t="shared" ca="1" si="0"/>
        <v>2029</v>
      </c>
      <c r="C21" s="500">
        <f t="shared" ca="1" si="4"/>
        <v>515455.85394957627</v>
      </c>
      <c r="D21" s="501">
        <f t="shared" ca="1" si="5"/>
        <v>5497479.5639431961</v>
      </c>
      <c r="F21" s="499">
        <f t="shared" ca="1" si="1"/>
        <v>2029</v>
      </c>
      <c r="G21" s="500">
        <f t="shared" ca="1" si="6"/>
        <v>515455.85394957627</v>
      </c>
      <c r="H21" s="501">
        <f t="shared" ca="1" si="7"/>
        <v>2852599.927229974</v>
      </c>
      <c r="J21" s="462">
        <v>9</v>
      </c>
      <c r="O21" s="508" t="s">
        <v>159</v>
      </c>
      <c r="P21" s="462">
        <v>17</v>
      </c>
      <c r="R21" s="462" t="str">
        <f t="shared" ca="1" si="2"/>
        <v/>
      </c>
      <c r="S21" s="462">
        <v>9</v>
      </c>
      <c r="T21" s="462" t="str">
        <f t="shared" ca="1" si="3"/>
        <v/>
      </c>
      <c r="U21" s="462">
        <v>9</v>
      </c>
    </row>
    <row r="22" spans="2:21" ht="18" customHeight="1">
      <c r="B22" s="499">
        <f t="shared" ca="1" si="0"/>
        <v>2030</v>
      </c>
      <c r="C22" s="500">
        <f t="shared" ca="1" si="4"/>
        <v>551537.76372604666</v>
      </c>
      <c r="D22" s="501">
        <f t="shared" ca="1" si="5"/>
        <v>5397961.3132225955</v>
      </c>
      <c r="F22" s="499">
        <f t="shared" ca="1" si="1"/>
        <v>2030</v>
      </c>
      <c r="G22" s="500">
        <f t="shared" ca="1" si="6"/>
        <v>551537.76372604666</v>
      </c>
      <c r="H22" s="501">
        <f t="shared" ca="1" si="7"/>
        <v>2396050.0096133691</v>
      </c>
      <c r="J22" s="462">
        <v>10</v>
      </c>
      <c r="O22" s="508" t="s">
        <v>160</v>
      </c>
      <c r="P22" s="462">
        <v>18</v>
      </c>
      <c r="R22" s="462" t="str">
        <f t="shared" ca="1" si="2"/>
        <v/>
      </c>
      <c r="S22" s="462">
        <v>10</v>
      </c>
      <c r="T22" s="462" t="str">
        <f t="shared" ca="1" si="3"/>
        <v/>
      </c>
      <c r="U22" s="462">
        <v>10</v>
      </c>
    </row>
    <row r="23" spans="2:21" ht="18" customHeight="1">
      <c r="B23" s="499">
        <f t="shared" ca="1" si="0"/>
        <v>2031</v>
      </c>
      <c r="C23" s="500">
        <f t="shared" ca="1" si="4"/>
        <v>590145.40718687</v>
      </c>
      <c r="D23" s="501">
        <f t="shared" ca="1" si="5"/>
        <v>5247211.8173201419</v>
      </c>
      <c r="F23" s="499">
        <f t="shared" ca="1" si="1"/>
        <v>2031</v>
      </c>
      <c r="G23" s="500">
        <f t="shared" ca="1" si="6"/>
        <v>590145.40718687</v>
      </c>
      <c r="H23" s="501">
        <f t="shared" ca="1" si="7"/>
        <v>1880452.3444146649</v>
      </c>
      <c r="J23" s="462">
        <v>11</v>
      </c>
      <c r="O23" s="508" t="s">
        <v>161</v>
      </c>
      <c r="P23" s="462">
        <v>19</v>
      </c>
      <c r="R23" s="462" t="str">
        <f t="shared" ca="1" si="2"/>
        <v/>
      </c>
      <c r="S23" s="462">
        <v>11</v>
      </c>
      <c r="T23" s="462" t="str">
        <f t="shared" ca="1" si="3"/>
        <v/>
      </c>
      <c r="U23" s="462">
        <v>11</v>
      </c>
    </row>
    <row r="24" spans="2:21" ht="18" customHeight="1">
      <c r="B24" s="499">
        <f t="shared" ca="1" si="0"/>
        <v>2032</v>
      </c>
      <c r="C24" s="500">
        <f t="shared" ca="1" si="4"/>
        <v>631455.58568995097</v>
      </c>
      <c r="D24" s="501">
        <f t="shared" ca="1" si="5"/>
        <v>5037599.4251513369</v>
      </c>
      <c r="F24" s="499">
        <f t="shared" ca="1" si="1"/>
        <v>2032</v>
      </c>
      <c r="G24" s="500">
        <f t="shared" ca="1" si="6"/>
        <v>631455.58568995097</v>
      </c>
      <c r="H24" s="501">
        <f t="shared" ca="1" si="7"/>
        <v>1300555.3449248702</v>
      </c>
      <c r="J24" s="462">
        <v>12</v>
      </c>
      <c r="O24" s="508" t="s">
        <v>162</v>
      </c>
      <c r="P24" s="462">
        <v>20</v>
      </c>
      <c r="R24" s="462" t="str">
        <f t="shared" ca="1" si="2"/>
        <v/>
      </c>
      <c r="S24" s="462">
        <v>12</v>
      </c>
      <c r="T24" s="462" t="str">
        <f t="shared" ca="1" si="3"/>
        <v/>
      </c>
      <c r="U24" s="462">
        <v>12</v>
      </c>
    </row>
    <row r="25" spans="2:21" ht="18" customHeight="1">
      <c r="B25" s="499">
        <f t="shared" ca="1" si="0"/>
        <v>2033</v>
      </c>
      <c r="C25" s="500">
        <f t="shared" ca="1" si="4"/>
        <v>675657.47668824752</v>
      </c>
      <c r="D25" s="501">
        <f t="shared" ca="1" si="5"/>
        <v>4760588.5470170286</v>
      </c>
      <c r="F25" s="499">
        <f t="shared" ca="1" si="1"/>
        <v>2033</v>
      </c>
      <c r="G25" s="500">
        <f t="shared" ca="1" si="6"/>
        <v>675657.47668824752</v>
      </c>
      <c r="H25" s="501">
        <f t="shared" ca="1" si="7"/>
        <v>650693.65223743045</v>
      </c>
      <c r="J25" s="462">
        <v>13</v>
      </c>
      <c r="O25" s="508" t="s">
        <v>163</v>
      </c>
      <c r="P25" s="462">
        <v>21</v>
      </c>
      <c r="R25" s="462" t="str">
        <f t="shared" ca="1" si="2"/>
        <v/>
      </c>
      <c r="S25" s="462">
        <v>13</v>
      </c>
      <c r="T25" s="462" t="str">
        <f t="shared" ca="1" si="3"/>
        <v/>
      </c>
      <c r="U25" s="462">
        <v>13</v>
      </c>
    </row>
    <row r="26" spans="2:21" ht="18" customHeight="1">
      <c r="B26" s="499">
        <f t="shared" ca="1" si="0"/>
        <v>2034</v>
      </c>
      <c r="C26" s="500">
        <f t="shared" ca="1" si="4"/>
        <v>722953.50005642488</v>
      </c>
      <c r="D26" s="501">
        <f t="shared" ca="1" si="5"/>
        <v>4406642.5891724266</v>
      </c>
      <c r="F26" s="499">
        <f t="shared" ca="1" si="1"/>
        <v>2034</v>
      </c>
      <c r="G26" s="500">
        <f t="shared" ca="1" si="6"/>
        <v>722953.50005642488</v>
      </c>
      <c r="H26" s="501">
        <f t="shared" ca="1" si="7"/>
        <v>-75242.734336962516</v>
      </c>
      <c r="J26" s="462">
        <v>14</v>
      </c>
      <c r="O26" s="508" t="s">
        <v>164</v>
      </c>
      <c r="P26" s="462">
        <v>22</v>
      </c>
      <c r="R26" s="462" t="str">
        <f t="shared" ca="1" si="2"/>
        <v/>
      </c>
      <c r="S26" s="462">
        <v>14</v>
      </c>
      <c r="T26" s="462" t="str">
        <f t="shared" ca="1" si="3"/>
        <v>YES</v>
      </c>
      <c r="U26" s="462">
        <v>14</v>
      </c>
    </row>
    <row r="27" spans="2:21" ht="18" customHeight="1">
      <c r="B27" s="499">
        <f t="shared" ca="1" si="0"/>
        <v>2035</v>
      </c>
      <c r="C27" s="500">
        <f t="shared" ca="1" si="4"/>
        <v>773560.24506037461</v>
      </c>
      <c r="D27" s="501">
        <f t="shared" ca="1" si="5"/>
        <v>3965117.0057051405</v>
      </c>
      <c r="F27" s="499">
        <f t="shared" ca="1" si="1"/>
        <v>2035</v>
      </c>
      <c r="G27" s="500">
        <f t="shared" ca="1" si="6"/>
        <v>773560.24506037461</v>
      </c>
      <c r="H27" s="501">
        <f t="shared" ca="1" si="7"/>
        <v>-883841.56638685928</v>
      </c>
      <c r="J27" s="462">
        <v>15</v>
      </c>
      <c r="O27" s="508" t="s">
        <v>165</v>
      </c>
      <c r="P27" s="462">
        <v>23</v>
      </c>
      <c r="R27" s="462" t="str">
        <f t="shared" ca="1" si="2"/>
        <v/>
      </c>
      <c r="S27" s="462">
        <v>15</v>
      </c>
      <c r="T27" s="462" t="str">
        <f t="shared" ca="1" si="3"/>
        <v>YES</v>
      </c>
      <c r="U27" s="462">
        <v>15</v>
      </c>
    </row>
    <row r="28" spans="2:21" ht="18" customHeight="1">
      <c r="B28" s="499">
        <f t="shared" ca="1" si="0"/>
        <v>2036</v>
      </c>
      <c r="C28" s="500">
        <f t="shared" ca="1" si="4"/>
        <v>827709.46221460088</v>
      </c>
      <c r="D28" s="501">
        <f t="shared" ca="1" si="5"/>
        <v>3424141.493705227</v>
      </c>
      <c r="F28" s="499">
        <f t="shared" ca="1" si="1"/>
        <v>2036</v>
      </c>
      <c r="G28" s="500">
        <f t="shared" ca="1" si="6"/>
        <v>827709.46221460088</v>
      </c>
      <c r="H28" s="501">
        <f t="shared" ca="1" si="7"/>
        <v>-1782203.8550621285</v>
      </c>
      <c r="J28" s="462">
        <v>16</v>
      </c>
      <c r="O28" s="508" t="s">
        <v>166</v>
      </c>
      <c r="P28" s="462">
        <v>24</v>
      </c>
      <c r="R28" s="462" t="str">
        <f t="shared" ca="1" si="2"/>
        <v/>
      </c>
      <c r="S28" s="462">
        <v>16</v>
      </c>
      <c r="T28" s="462" t="str">
        <f t="shared" ca="1" si="3"/>
        <v>YES</v>
      </c>
      <c r="U28" s="462">
        <v>16</v>
      </c>
    </row>
    <row r="29" spans="2:21" ht="18" customHeight="1">
      <c r="B29" s="499">
        <f t="shared" ca="1" si="0"/>
        <v>2037</v>
      </c>
      <c r="C29" s="500">
        <f t="shared" ca="1" si="4"/>
        <v>885649.12456962303</v>
      </c>
      <c r="D29" s="501">
        <f t="shared" ca="1" si="5"/>
        <v>2770490.263735645</v>
      </c>
      <c r="F29" s="499">
        <f t="shared" ca="1" si="1"/>
        <v>2037</v>
      </c>
      <c r="G29" s="500">
        <f t="shared" ca="1" si="6"/>
        <v>885649.12456962303</v>
      </c>
      <c r="H29" s="501">
        <f t="shared" ca="1" si="7"/>
        <v>-2777981.9506309503</v>
      </c>
      <c r="J29" s="462">
        <v>17</v>
      </c>
      <c r="O29" s="508" t="s">
        <v>167</v>
      </c>
      <c r="P29" s="462">
        <v>25</v>
      </c>
      <c r="R29" s="462" t="str">
        <f t="shared" ca="1" si="2"/>
        <v/>
      </c>
      <c r="S29" s="462">
        <v>17</v>
      </c>
      <c r="T29" s="462" t="str">
        <f t="shared" ca="1" si="3"/>
        <v>YES</v>
      </c>
      <c r="U29" s="462">
        <v>17</v>
      </c>
    </row>
    <row r="30" spans="2:21" ht="18" customHeight="1">
      <c r="B30" s="499">
        <f t="shared" ca="1" si="0"/>
        <v>2038</v>
      </c>
      <c r="C30" s="500">
        <f t="shared" ca="1" si="4"/>
        <v>947644.5632894967</v>
      </c>
      <c r="D30" s="501">
        <f t="shared" ca="1" si="5"/>
        <v>1989439.2147013226</v>
      </c>
      <c r="F30" s="499">
        <f t="shared" ca="1" si="1"/>
        <v>2038</v>
      </c>
      <c r="G30" s="500">
        <f t="shared" ca="1" si="6"/>
        <v>947644.5632894967</v>
      </c>
      <c r="H30" s="501">
        <f t="shared" ca="1" si="7"/>
        <v>-3879420.3764150827</v>
      </c>
      <c r="J30" s="462">
        <v>18</v>
      </c>
      <c r="O30" s="508" t="s">
        <v>168</v>
      </c>
      <c r="P30" s="462">
        <v>26</v>
      </c>
      <c r="R30" s="462" t="str">
        <f t="shared" ca="1" si="2"/>
        <v/>
      </c>
      <c r="S30" s="462">
        <v>18</v>
      </c>
      <c r="T30" s="462" t="str">
        <f t="shared" ca="1" si="3"/>
        <v>YES</v>
      </c>
      <c r="U30" s="462">
        <v>18</v>
      </c>
    </row>
    <row r="31" spans="2:21" ht="18" customHeight="1">
      <c r="B31" s="499">
        <f t="shared" ca="1" si="0"/>
        <v>2039</v>
      </c>
      <c r="C31" s="500">
        <f t="shared" ca="1" si="4"/>
        <v>1013979.6827197615</v>
      </c>
      <c r="D31" s="501">
        <f t="shared" ca="1" si="5"/>
        <v>1064608.7295284199</v>
      </c>
      <c r="F31" s="499">
        <f t="shared" ca="1" si="1"/>
        <v>2039</v>
      </c>
      <c r="G31" s="500">
        <f t="shared" ca="1" si="6"/>
        <v>1013979.6827197615</v>
      </c>
      <c r="H31" s="501">
        <f t="shared" ca="1" si="7"/>
        <v>-5095399.6135759307</v>
      </c>
      <c r="J31" s="462">
        <v>19</v>
      </c>
      <c r="O31" s="508" t="s">
        <v>169</v>
      </c>
      <c r="P31" s="462">
        <v>27</v>
      </c>
      <c r="R31" s="462" t="str">
        <f t="shared" ca="1" si="2"/>
        <v/>
      </c>
      <c r="S31" s="462">
        <v>19</v>
      </c>
      <c r="T31" s="462" t="str">
        <f t="shared" ca="1" si="3"/>
        <v>YES</v>
      </c>
      <c r="U31" s="462">
        <v>19</v>
      </c>
    </row>
    <row r="32" spans="2:21" ht="18" customHeight="1">
      <c r="B32" s="499">
        <f t="shared" ca="1" si="0"/>
        <v>2040</v>
      </c>
      <c r="C32" s="500">
        <f t="shared" ca="1" si="4"/>
        <v>1084958.260510145</v>
      </c>
      <c r="D32" s="501">
        <f t="shared" ca="1" si="5"/>
        <v>-22209.3153172069</v>
      </c>
      <c r="F32" s="499">
        <f t="shared" ca="1" si="1"/>
        <v>2040</v>
      </c>
      <c r="G32" s="500">
        <f t="shared" ca="1" si="6"/>
        <v>1084958.260510145</v>
      </c>
      <c r="H32" s="501">
        <f t="shared" ca="1" si="7"/>
        <v>-6435483.0471283486</v>
      </c>
      <c r="J32" s="462">
        <v>20</v>
      </c>
      <c r="O32" s="508" t="s">
        <v>170</v>
      </c>
      <c r="P32" s="462">
        <v>28</v>
      </c>
      <c r="R32" s="462" t="str">
        <f t="shared" ca="1" si="2"/>
        <v>YES</v>
      </c>
      <c r="S32" s="462">
        <v>20</v>
      </c>
      <c r="T32" s="462" t="str">
        <f t="shared" ca="1" si="3"/>
        <v>YES</v>
      </c>
      <c r="U32" s="462">
        <v>20</v>
      </c>
    </row>
    <row r="33" spans="2:21" ht="18" customHeight="1">
      <c r="B33" s="499">
        <f t="shared" ca="1" si="0"/>
        <v>2041</v>
      </c>
      <c r="C33" s="500">
        <f t="shared" ca="1" si="4"/>
        <v>1160905.3387458553</v>
      </c>
      <c r="D33" s="501">
        <f t="shared" ca="1" si="5"/>
        <v>-1291241.8685271936</v>
      </c>
      <c r="F33" s="499">
        <f t="shared" ca="1" si="1"/>
        <v>2041</v>
      </c>
      <c r="G33" s="500">
        <f t="shared" ca="1" si="6"/>
        <v>1160905.3387458553</v>
      </c>
      <c r="H33" s="501">
        <f t="shared" ca="1" si="7"/>
        <v>-7909967.2984430911</v>
      </c>
      <c r="J33" s="462">
        <v>21</v>
      </c>
      <c r="O33" s="508" t="s">
        <v>171</v>
      </c>
      <c r="P33" s="13">
        <v>29</v>
      </c>
      <c r="R33" s="462" t="str">
        <f t="shared" ca="1" si="2"/>
        <v>YES</v>
      </c>
      <c r="S33" s="462">
        <v>21</v>
      </c>
      <c r="T33" s="462" t="str">
        <f t="shared" ca="1" si="3"/>
        <v>YES</v>
      </c>
      <c r="U33" s="462">
        <v>21</v>
      </c>
    </row>
    <row r="34" spans="2:21" ht="18" customHeight="1">
      <c r="B34" s="499">
        <f t="shared" ca="1" si="0"/>
        <v>2042</v>
      </c>
      <c r="C34" s="500">
        <f t="shared" ca="1" si="4"/>
        <v>1242168.7124580652</v>
      </c>
      <c r="D34" s="501">
        <f t="shared" ca="1" si="5"/>
        <v>-2764944.0408026632</v>
      </c>
      <c r="F34" s="499">
        <f t="shared" ca="1" si="1"/>
        <v>2042</v>
      </c>
      <c r="G34" s="500">
        <f t="shared" ca="1" si="6"/>
        <v>1242168.7124580652</v>
      </c>
      <c r="H34" s="501">
        <f t="shared" ca="1" si="7"/>
        <v>-9529936.1854311563</v>
      </c>
      <c r="J34" s="462">
        <v>22</v>
      </c>
      <c r="O34" s="508" t="s">
        <v>172</v>
      </c>
      <c r="P34" s="13">
        <v>30</v>
      </c>
      <c r="R34" s="462" t="str">
        <f t="shared" ca="1" si="2"/>
        <v>YES</v>
      </c>
      <c r="S34" s="462">
        <v>22</v>
      </c>
      <c r="T34" s="462" t="str">
        <f t="shared" ca="1" si="3"/>
        <v>YES</v>
      </c>
      <c r="U34" s="462">
        <v>22</v>
      </c>
    </row>
    <row r="35" spans="2:21" ht="18" customHeight="1">
      <c r="B35" s="499">
        <f t="shared" ca="1" si="0"/>
        <v>2043</v>
      </c>
      <c r="C35" s="500">
        <f t="shared" ca="1" si="4"/>
        <v>1329120.52233013</v>
      </c>
      <c r="D35" s="501">
        <f t="shared" ca="1" si="5"/>
        <v>-4468229.3116866248</v>
      </c>
      <c r="F35" s="499">
        <f t="shared" ca="1" si="1"/>
        <v>2043</v>
      </c>
      <c r="G35" s="500">
        <f t="shared" ca="1" si="6"/>
        <v>1329120.52233013</v>
      </c>
      <c r="H35" s="501">
        <f t="shared" ca="1" si="7"/>
        <v>-11307318.568657672</v>
      </c>
      <c r="J35" s="462">
        <v>23</v>
      </c>
      <c r="R35" s="462" t="str">
        <f t="shared" ca="1" si="2"/>
        <v>YES</v>
      </c>
      <c r="S35" s="462">
        <v>23</v>
      </c>
      <c r="T35" s="462" t="str">
        <f t="shared" ca="1" si="3"/>
        <v>YES</v>
      </c>
      <c r="U35" s="462">
        <v>23</v>
      </c>
    </row>
    <row r="36" spans="2:21" ht="18" customHeight="1">
      <c r="B36" s="499">
        <f t="shared" ca="1" si="0"/>
        <v>2044</v>
      </c>
      <c r="C36" s="500">
        <f t="shared" ca="1" si="4"/>
        <v>1422158.9588932393</v>
      </c>
      <c r="D36" s="501">
        <f t="shared" ca="1" si="5"/>
        <v>-6428722.6354046986</v>
      </c>
      <c r="F36" s="499">
        <f t="shared" ca="1" si="1"/>
        <v>2044</v>
      </c>
      <c r="G36" s="500">
        <f t="shared" ca="1" si="6"/>
        <v>1422158.9588932393</v>
      </c>
      <c r="H36" s="501">
        <f t="shared" ca="1" si="7"/>
        <v>-13254950.359888213</v>
      </c>
      <c r="J36" s="462">
        <v>24</v>
      </c>
      <c r="R36" s="462" t="str">
        <f t="shared" ca="1" si="2"/>
        <v>YES</v>
      </c>
      <c r="S36" s="462">
        <v>24</v>
      </c>
      <c r="T36" s="462" t="str">
        <f t="shared" ca="1" si="3"/>
        <v>YES</v>
      </c>
      <c r="U36" s="462">
        <v>24</v>
      </c>
    </row>
    <row r="37" spans="2:21" ht="18" customHeight="1">
      <c r="B37" s="499">
        <f t="shared" ca="1" si="0"/>
        <v>2045</v>
      </c>
      <c r="C37" s="500">
        <f t="shared" ca="1" si="4"/>
        <v>1521710.086015766</v>
      </c>
      <c r="D37" s="501">
        <f t="shared" ca="1" si="5"/>
        <v>-8677038.6686965227</v>
      </c>
      <c r="F37" s="499">
        <f t="shared" ca="1" si="1"/>
        <v>2045</v>
      </c>
      <c r="G37" s="500">
        <f t="shared" ca="1" si="6"/>
        <v>1521710.086015766</v>
      </c>
      <c r="H37" s="501">
        <f t="shared" ca="1" si="7"/>
        <v>-15386640.989110895</v>
      </c>
      <c r="J37" s="462">
        <v>25</v>
      </c>
      <c r="R37" s="462" t="str">
        <f t="shared" ca="1" si="2"/>
        <v>YES</v>
      </c>
      <c r="S37" s="462">
        <v>25</v>
      </c>
      <c r="T37" s="462" t="str">
        <f t="shared" ca="1" si="3"/>
        <v>YES</v>
      </c>
      <c r="U37" s="462">
        <v>25</v>
      </c>
    </row>
    <row r="38" spans="2:21" ht="18" customHeight="1">
      <c r="B38" s="499">
        <f t="shared" ca="1" si="0"/>
        <v>2046</v>
      </c>
      <c r="C38" s="500">
        <f t="shared" ca="1" si="4"/>
        <v>1628229.7920368698</v>
      </c>
      <c r="D38" s="501">
        <f t="shared" ca="1" si="5"/>
        <v>-11247087.555896739</v>
      </c>
      <c r="F38" s="499">
        <f t="shared" ca="1" si="1"/>
        <v>2046</v>
      </c>
      <c r="G38" s="500">
        <f t="shared" ca="1" si="6"/>
        <v>1628229.7920368698</v>
      </c>
      <c r="H38" s="501">
        <f t="shared" ca="1" si="7"/>
        <v>-17717244.646993544</v>
      </c>
      <c r="J38" s="462">
        <v>26</v>
      </c>
      <c r="R38" s="462" t="str">
        <f t="shared" ca="1" si="2"/>
        <v>YES</v>
      </c>
      <c r="S38" s="462">
        <v>26</v>
      </c>
      <c r="T38" s="462" t="str">
        <f t="shared" ca="1" si="3"/>
        <v>YES</v>
      </c>
      <c r="U38" s="462">
        <v>26</v>
      </c>
    </row>
    <row r="39" spans="2:21" ht="18" customHeight="1">
      <c r="B39" s="499">
        <f t="shared" ca="1" si="0"/>
        <v>2047</v>
      </c>
      <c r="C39" s="500">
        <f t="shared" ca="1" si="4"/>
        <v>1742205.8774794508</v>
      </c>
      <c r="D39" s="501">
        <f t="shared" ca="1" si="5"/>
        <v>-14176410.938839305</v>
      </c>
      <c r="F39" s="499">
        <f t="shared" ca="1" si="1"/>
        <v>2047</v>
      </c>
      <c r="G39" s="500">
        <f t="shared" ca="1" si="6"/>
        <v>1742205.8774794508</v>
      </c>
      <c r="H39" s="501">
        <f t="shared" ca="1" si="7"/>
        <v>-20262736.642123241</v>
      </c>
      <c r="J39" s="462">
        <v>27</v>
      </c>
      <c r="R39" s="462" t="str">
        <f t="shared" ca="1" si="2"/>
        <v>YES</v>
      </c>
      <c r="S39" s="462">
        <v>27</v>
      </c>
      <c r="T39" s="462" t="str">
        <f t="shared" ca="1" si="3"/>
        <v>YES</v>
      </c>
      <c r="U39" s="462">
        <v>27</v>
      </c>
    </row>
    <row r="40" spans="2:21" ht="18" customHeight="1">
      <c r="B40" s="499">
        <f t="shared" ca="1" si="0"/>
        <v>2048</v>
      </c>
      <c r="C40" s="500">
        <f t="shared" ca="1" si="4"/>
        <v>1864160.2889030124</v>
      </c>
      <c r="D40" s="501">
        <f t="shared" ca="1" si="5"/>
        <v>-17506551.113388143</v>
      </c>
      <c r="F40" s="499">
        <f t="shared" ca="1" si="1"/>
        <v>2048</v>
      </c>
      <c r="G40" s="500">
        <f t="shared" ca="1" si="6"/>
        <v>1864160.2889030124</v>
      </c>
      <c r="H40" s="501">
        <f t="shared" ca="1" si="7"/>
        <v>-23040295.236339018</v>
      </c>
      <c r="J40" s="462">
        <v>28</v>
      </c>
      <c r="R40" s="462" t="str">
        <f t="shared" ca="1" si="2"/>
        <v>YES</v>
      </c>
      <c r="S40" s="462">
        <v>28</v>
      </c>
      <c r="T40" s="462" t="str">
        <f t="shared" ca="1" si="3"/>
        <v>YES</v>
      </c>
      <c r="U40" s="462">
        <v>28</v>
      </c>
    </row>
    <row r="41" spans="2:21" ht="18" customHeight="1">
      <c r="B41" s="499">
        <f t="shared" ca="1" si="0"/>
        <v>2049</v>
      </c>
      <c r="C41" s="500">
        <f t="shared" ca="1" si="4"/>
        <v>1994651.5091262234</v>
      </c>
      <c r="D41" s="501">
        <f t="shared" ca="1" si="5"/>
        <v>-21283456.532591198</v>
      </c>
      <c r="F41" s="499">
        <f t="shared" ca="1" si="1"/>
        <v>2049</v>
      </c>
      <c r="G41" s="500">
        <f t="shared" ca="1" si="6"/>
        <v>1994651.5091262234</v>
      </c>
      <c r="H41" s="501">
        <f t="shared" ca="1" si="7"/>
        <v>-26068389.347118046</v>
      </c>
      <c r="J41" s="462">
        <v>29</v>
      </c>
      <c r="R41" s="462" t="str">
        <f t="shared" ca="1" si="2"/>
        <v>YES</v>
      </c>
      <c r="S41" s="462">
        <v>29</v>
      </c>
      <c r="T41" s="462" t="str">
        <f t="shared" ca="1" si="3"/>
        <v>YES</v>
      </c>
      <c r="U41" s="462">
        <v>29</v>
      </c>
    </row>
    <row r="42" spans="2:21" ht="18" customHeight="1">
      <c r="B42" s="499">
        <f t="shared" ca="1" si="0"/>
        <v>2050</v>
      </c>
      <c r="C42" s="500">
        <f t="shared" ca="1" si="4"/>
        <v>2134277.1147650592</v>
      </c>
      <c r="D42" s="501">
        <f t="shared" ca="1" si="5"/>
        <v>-25557927.160855439</v>
      </c>
      <c r="F42" s="499">
        <f t="shared" ca="1" si="1"/>
        <v>2050</v>
      </c>
      <c r="G42" s="500">
        <f t="shared" ca="1" si="6"/>
        <v>2134277.1147650592</v>
      </c>
      <c r="H42" s="501">
        <f t="shared" ca="1" si="7"/>
        <v>-29366872.533429641</v>
      </c>
      <c r="J42" s="462">
        <v>30</v>
      </c>
      <c r="R42" s="462" t="str">
        <f t="shared" ca="1" si="2"/>
        <v>YES</v>
      </c>
      <c r="S42" s="462">
        <v>30</v>
      </c>
      <c r="T42" s="462" t="str">
        <f t="shared" ca="1" si="3"/>
        <v>YES</v>
      </c>
      <c r="U42" s="462">
        <v>30</v>
      </c>
    </row>
    <row r="43" spans="2:21" ht="14.4">
      <c r="B43" s="499" t="str">
        <f t="shared" ca="1" si="0"/>
        <v/>
      </c>
      <c r="C43" s="500" t="str">
        <f t="shared" ca="1" si="4"/>
        <v/>
      </c>
      <c r="D43" s="501" t="str">
        <f t="shared" ca="1" si="5"/>
        <v/>
      </c>
      <c r="F43" s="499" t="str">
        <f t="shared" ca="1" si="1"/>
        <v/>
      </c>
      <c r="G43" s="500" t="str">
        <f t="shared" ca="1" si="6"/>
        <v/>
      </c>
      <c r="H43" s="501" t="str">
        <f t="shared" ca="1" si="7"/>
        <v/>
      </c>
      <c r="J43" s="462">
        <v>31</v>
      </c>
      <c r="R43" s="462" t="str">
        <f t="shared" ca="1" si="2"/>
        <v/>
      </c>
      <c r="S43" s="462">
        <v>31</v>
      </c>
      <c r="T43" s="462" t="str">
        <f t="shared" ca="1" si="3"/>
        <v/>
      </c>
      <c r="U43" s="462">
        <v>31</v>
      </c>
    </row>
    <row r="44" spans="2:21" ht="14.4">
      <c r="B44" s="499" t="str">
        <f t="shared" ca="1" si="0"/>
        <v/>
      </c>
      <c r="C44" s="500" t="str">
        <f t="shared" ca="1" si="4"/>
        <v/>
      </c>
      <c r="D44" s="501" t="str">
        <f t="shared" ca="1" si="5"/>
        <v/>
      </c>
      <c r="F44" s="499" t="str">
        <f t="shared" ca="1" si="1"/>
        <v/>
      </c>
      <c r="G44" s="500" t="str">
        <f t="shared" ca="1" si="6"/>
        <v/>
      </c>
      <c r="H44" s="501" t="str">
        <f t="shared" ca="1" si="7"/>
        <v/>
      </c>
      <c r="J44" s="462">
        <v>32</v>
      </c>
      <c r="R44" s="462" t="str">
        <f t="shared" ca="1" si="2"/>
        <v/>
      </c>
      <c r="S44" s="462">
        <v>32</v>
      </c>
      <c r="T44" s="462" t="str">
        <f t="shared" ca="1" si="3"/>
        <v/>
      </c>
      <c r="U44" s="462">
        <v>32</v>
      </c>
    </row>
    <row r="45" spans="2:21" ht="14.4">
      <c r="B45" s="499" t="str">
        <f t="shared" ca="1" si="0"/>
        <v/>
      </c>
      <c r="C45" s="500" t="str">
        <f t="shared" ca="1" si="4"/>
        <v/>
      </c>
      <c r="D45" s="501" t="str">
        <f t="shared" ca="1" si="5"/>
        <v/>
      </c>
      <c r="F45" s="499" t="str">
        <f t="shared" ca="1" si="1"/>
        <v/>
      </c>
      <c r="G45" s="500" t="str">
        <f t="shared" ca="1" si="6"/>
        <v/>
      </c>
      <c r="H45" s="501" t="str">
        <f t="shared" ca="1" si="7"/>
        <v/>
      </c>
      <c r="J45" s="462">
        <v>33</v>
      </c>
      <c r="R45" s="462" t="str">
        <f t="shared" ca="1" si="2"/>
        <v/>
      </c>
      <c r="S45" s="462">
        <v>33</v>
      </c>
      <c r="T45" s="462" t="str">
        <f t="shared" ca="1" si="3"/>
        <v/>
      </c>
      <c r="U45" s="462">
        <v>33</v>
      </c>
    </row>
    <row r="46" spans="2:21" ht="14.4">
      <c r="B46" s="499" t="str">
        <f t="shared" ref="B46:B62" ca="1" si="8">IF(OR(B45="",J46&gt;$D$2),"",B45+1)</f>
        <v/>
      </c>
      <c r="C46" s="500" t="str">
        <f t="shared" ca="1" si="4"/>
        <v/>
      </c>
      <c r="D46" s="501" t="str">
        <f t="shared" ca="1" si="5"/>
        <v/>
      </c>
      <c r="F46" s="499" t="str">
        <f t="shared" ref="F46:F62" ca="1" si="9">IF(OR(F45="",J46&gt;$D$2),"",F45+1)</f>
        <v/>
      </c>
      <c r="G46" s="500" t="str">
        <f t="shared" ca="1" si="6"/>
        <v/>
      </c>
      <c r="H46" s="501" t="str">
        <f t="shared" ca="1" si="7"/>
        <v/>
      </c>
      <c r="J46" s="462">
        <v>34</v>
      </c>
      <c r="R46" s="462" t="str">
        <f t="shared" ca="1" si="2"/>
        <v/>
      </c>
      <c r="S46" s="462">
        <v>34</v>
      </c>
      <c r="T46" s="462" t="str">
        <f t="shared" ca="1" si="3"/>
        <v/>
      </c>
      <c r="U46" s="462">
        <v>34</v>
      </c>
    </row>
    <row r="47" spans="2:21" ht="14.4">
      <c r="B47" s="499" t="str">
        <f t="shared" ca="1" si="8"/>
        <v/>
      </c>
      <c r="C47" s="500" t="str">
        <f t="shared" ca="1" si="4"/>
        <v/>
      </c>
      <c r="D47" s="501" t="str">
        <f t="shared" ca="1" si="5"/>
        <v/>
      </c>
      <c r="F47" s="499" t="str">
        <f t="shared" ca="1" si="9"/>
        <v/>
      </c>
      <c r="G47" s="500" t="str">
        <f t="shared" ca="1" si="6"/>
        <v/>
      </c>
      <c r="H47" s="501" t="str">
        <f t="shared" ca="1" si="7"/>
        <v/>
      </c>
      <c r="J47" s="462">
        <v>35</v>
      </c>
      <c r="R47" s="462" t="str">
        <f t="shared" ca="1" si="2"/>
        <v/>
      </c>
      <c r="S47" s="462">
        <v>35</v>
      </c>
      <c r="T47" s="462" t="str">
        <f t="shared" ca="1" si="3"/>
        <v/>
      </c>
      <c r="U47" s="462">
        <v>35</v>
      </c>
    </row>
    <row r="48" spans="2:21" ht="14.4">
      <c r="B48" s="499" t="str">
        <f t="shared" ca="1" si="8"/>
        <v/>
      </c>
      <c r="C48" s="500" t="str">
        <f t="shared" ca="1" si="4"/>
        <v/>
      </c>
      <c r="D48" s="501" t="str">
        <f t="shared" ca="1" si="5"/>
        <v/>
      </c>
      <c r="F48" s="499" t="str">
        <f t="shared" ca="1" si="9"/>
        <v/>
      </c>
      <c r="G48" s="500" t="str">
        <f t="shared" ca="1" si="6"/>
        <v/>
      </c>
      <c r="H48" s="501" t="str">
        <f t="shared" ca="1" si="7"/>
        <v/>
      </c>
      <c r="J48" s="462">
        <v>36</v>
      </c>
      <c r="R48" s="462" t="str">
        <f t="shared" ca="1" si="2"/>
        <v/>
      </c>
      <c r="S48" s="462">
        <v>36</v>
      </c>
      <c r="T48" s="462" t="str">
        <f t="shared" ca="1" si="3"/>
        <v/>
      </c>
      <c r="U48" s="462">
        <v>36</v>
      </c>
    </row>
    <row r="49" spans="2:21" ht="14.4">
      <c r="B49" s="499" t="str">
        <f t="shared" ca="1" si="8"/>
        <v/>
      </c>
      <c r="C49" s="500" t="str">
        <f t="shared" ca="1" si="4"/>
        <v/>
      </c>
      <c r="D49" s="501" t="str">
        <f t="shared" ca="1" si="5"/>
        <v/>
      </c>
      <c r="F49" s="499" t="str">
        <f t="shared" ca="1" si="9"/>
        <v/>
      </c>
      <c r="G49" s="500" t="str">
        <f t="shared" ca="1" si="6"/>
        <v/>
      </c>
      <c r="H49" s="501" t="str">
        <f t="shared" ca="1" si="7"/>
        <v/>
      </c>
      <c r="J49" s="462">
        <v>37</v>
      </c>
      <c r="R49" s="462" t="str">
        <f t="shared" ca="1" si="2"/>
        <v/>
      </c>
      <c r="S49" s="462">
        <v>37</v>
      </c>
      <c r="T49" s="462" t="str">
        <f t="shared" ca="1" si="3"/>
        <v/>
      </c>
      <c r="U49" s="462">
        <v>37</v>
      </c>
    </row>
    <row r="50" spans="2:21" ht="14.4">
      <c r="B50" s="499" t="str">
        <f t="shared" ca="1" si="8"/>
        <v/>
      </c>
      <c r="C50" s="500" t="str">
        <f t="shared" ca="1" si="4"/>
        <v/>
      </c>
      <c r="D50" s="501" t="str">
        <f t="shared" ca="1" si="5"/>
        <v/>
      </c>
      <c r="F50" s="499" t="str">
        <f t="shared" ca="1" si="9"/>
        <v/>
      </c>
      <c r="G50" s="500" t="str">
        <f t="shared" ca="1" si="6"/>
        <v/>
      </c>
      <c r="H50" s="501" t="str">
        <f t="shared" ca="1" si="7"/>
        <v/>
      </c>
      <c r="J50" s="462">
        <v>38</v>
      </c>
      <c r="R50" s="462" t="str">
        <f t="shared" ca="1" si="2"/>
        <v/>
      </c>
      <c r="S50" s="462">
        <v>38</v>
      </c>
      <c r="T50" s="462" t="str">
        <f t="shared" ca="1" si="3"/>
        <v/>
      </c>
      <c r="U50" s="462">
        <v>38</v>
      </c>
    </row>
    <row r="51" spans="2:21" ht="14.4">
      <c r="B51" s="499" t="str">
        <f t="shared" ca="1" si="8"/>
        <v/>
      </c>
      <c r="C51" s="500" t="str">
        <f t="shared" ca="1" si="4"/>
        <v/>
      </c>
      <c r="D51" s="501" t="str">
        <f t="shared" ca="1" si="5"/>
        <v/>
      </c>
      <c r="F51" s="499" t="str">
        <f t="shared" ca="1" si="9"/>
        <v/>
      </c>
      <c r="G51" s="500" t="str">
        <f t="shared" ca="1" si="6"/>
        <v/>
      </c>
      <c r="H51" s="501" t="str">
        <f t="shared" ca="1" si="7"/>
        <v/>
      </c>
      <c r="J51" s="462">
        <v>39</v>
      </c>
      <c r="R51" s="462" t="str">
        <f t="shared" ca="1" si="2"/>
        <v/>
      </c>
      <c r="S51" s="462">
        <v>39</v>
      </c>
      <c r="T51" s="462" t="str">
        <f t="shared" ca="1" si="3"/>
        <v/>
      </c>
      <c r="U51" s="462">
        <v>39</v>
      </c>
    </row>
    <row r="52" spans="2:21" ht="14.4">
      <c r="B52" s="499" t="str">
        <f t="shared" ca="1" si="8"/>
        <v/>
      </c>
      <c r="C52" s="500" t="str">
        <f t="shared" ca="1" si="4"/>
        <v/>
      </c>
      <c r="D52" s="501" t="str">
        <f t="shared" ca="1" si="5"/>
        <v/>
      </c>
      <c r="F52" s="499" t="str">
        <f t="shared" ca="1" si="9"/>
        <v/>
      </c>
      <c r="G52" s="500" t="str">
        <f t="shared" ca="1" si="6"/>
        <v/>
      </c>
      <c r="H52" s="501" t="str">
        <f t="shared" ca="1" si="7"/>
        <v/>
      </c>
      <c r="J52" s="462">
        <v>40</v>
      </c>
      <c r="R52" s="462" t="str">
        <f t="shared" ca="1" si="2"/>
        <v/>
      </c>
      <c r="S52" s="462">
        <v>40</v>
      </c>
      <c r="T52" s="462" t="str">
        <f t="shared" ca="1" si="3"/>
        <v/>
      </c>
      <c r="U52" s="462">
        <v>40</v>
      </c>
    </row>
    <row r="53" spans="2:21" ht="14.4">
      <c r="B53" s="499" t="str">
        <f t="shared" ca="1" si="8"/>
        <v/>
      </c>
      <c r="C53" s="500" t="str">
        <f t="shared" ca="1" si="4"/>
        <v/>
      </c>
      <c r="D53" s="501" t="str">
        <f t="shared" ca="1" si="5"/>
        <v/>
      </c>
      <c r="F53" s="499" t="str">
        <f t="shared" ca="1" si="9"/>
        <v/>
      </c>
      <c r="G53" s="500" t="str">
        <f t="shared" ca="1" si="6"/>
        <v/>
      </c>
      <c r="H53" s="501" t="str">
        <f t="shared" ca="1" si="7"/>
        <v/>
      </c>
      <c r="J53" s="462">
        <v>41</v>
      </c>
      <c r="R53" s="462" t="str">
        <f t="shared" ca="1" si="2"/>
        <v/>
      </c>
      <c r="S53" s="462">
        <v>41</v>
      </c>
      <c r="T53" s="462" t="str">
        <f t="shared" ca="1" si="3"/>
        <v/>
      </c>
      <c r="U53" s="462">
        <v>41</v>
      </c>
    </row>
    <row r="54" spans="2:21" ht="14.4">
      <c r="B54" s="499" t="str">
        <f t="shared" ca="1" si="8"/>
        <v/>
      </c>
      <c r="C54" s="500" t="str">
        <f t="shared" ca="1" si="4"/>
        <v/>
      </c>
      <c r="D54" s="501" t="str">
        <f t="shared" ca="1" si="5"/>
        <v/>
      </c>
      <c r="F54" s="499" t="str">
        <f t="shared" ca="1" si="9"/>
        <v/>
      </c>
      <c r="G54" s="500" t="str">
        <f t="shared" ca="1" si="6"/>
        <v/>
      </c>
      <c r="H54" s="501" t="str">
        <f t="shared" ca="1" si="7"/>
        <v/>
      </c>
      <c r="J54" s="462">
        <v>42</v>
      </c>
      <c r="R54" s="462" t="str">
        <f t="shared" ca="1" si="2"/>
        <v/>
      </c>
      <c r="S54" s="462">
        <v>42</v>
      </c>
      <c r="T54" s="462" t="str">
        <f t="shared" ca="1" si="3"/>
        <v/>
      </c>
      <c r="U54" s="462">
        <v>42</v>
      </c>
    </row>
    <row r="55" spans="2:21" ht="14.4">
      <c r="B55" s="499" t="str">
        <f t="shared" ca="1" si="8"/>
        <v/>
      </c>
      <c r="C55" s="500" t="str">
        <f t="shared" ca="1" si="4"/>
        <v/>
      </c>
      <c r="D55" s="501" t="str">
        <f t="shared" ca="1" si="5"/>
        <v/>
      </c>
      <c r="F55" s="499" t="str">
        <f t="shared" ca="1" si="9"/>
        <v/>
      </c>
      <c r="G55" s="500" t="str">
        <f t="shared" ca="1" si="6"/>
        <v/>
      </c>
      <c r="H55" s="501" t="str">
        <f t="shared" ca="1" si="7"/>
        <v/>
      </c>
      <c r="J55" s="462">
        <v>43</v>
      </c>
      <c r="R55" s="462" t="str">
        <f t="shared" ca="1" si="2"/>
        <v/>
      </c>
      <c r="S55" s="462">
        <v>43</v>
      </c>
      <c r="T55" s="462" t="str">
        <f t="shared" ca="1" si="3"/>
        <v/>
      </c>
      <c r="U55" s="462">
        <v>43</v>
      </c>
    </row>
    <row r="56" spans="2:21" ht="14.4">
      <c r="B56" s="499" t="str">
        <f t="shared" ca="1" si="8"/>
        <v/>
      </c>
      <c r="C56" s="500" t="str">
        <f t="shared" ca="1" si="4"/>
        <v/>
      </c>
      <c r="D56" s="501" t="str">
        <f t="shared" ca="1" si="5"/>
        <v/>
      </c>
      <c r="F56" s="499" t="str">
        <f t="shared" ca="1" si="9"/>
        <v/>
      </c>
      <c r="G56" s="500" t="str">
        <f t="shared" ca="1" si="6"/>
        <v/>
      </c>
      <c r="H56" s="501" t="str">
        <f t="shared" ca="1" si="7"/>
        <v/>
      </c>
      <c r="J56" s="462">
        <v>44</v>
      </c>
      <c r="R56" s="462" t="str">
        <f t="shared" ca="1" si="2"/>
        <v/>
      </c>
      <c r="S56" s="462">
        <v>44</v>
      </c>
      <c r="T56" s="462" t="str">
        <f t="shared" ca="1" si="3"/>
        <v/>
      </c>
      <c r="U56" s="462">
        <v>44</v>
      </c>
    </row>
    <row r="57" spans="2:21" ht="14.4">
      <c r="B57" s="499" t="str">
        <f t="shared" ca="1" si="8"/>
        <v/>
      </c>
      <c r="C57" s="500" t="str">
        <f t="shared" ca="1" si="4"/>
        <v/>
      </c>
      <c r="D57" s="501" t="str">
        <f t="shared" ca="1" si="5"/>
        <v/>
      </c>
      <c r="F57" s="499" t="str">
        <f t="shared" ca="1" si="9"/>
        <v/>
      </c>
      <c r="G57" s="500" t="str">
        <f t="shared" ca="1" si="6"/>
        <v/>
      </c>
      <c r="H57" s="501" t="str">
        <f t="shared" ca="1" si="7"/>
        <v/>
      </c>
      <c r="J57" s="462">
        <v>45</v>
      </c>
      <c r="R57" s="462" t="str">
        <f t="shared" ca="1" si="2"/>
        <v/>
      </c>
      <c r="S57" s="462">
        <v>45</v>
      </c>
      <c r="T57" s="462" t="str">
        <f t="shared" ca="1" si="3"/>
        <v/>
      </c>
      <c r="U57" s="462">
        <v>45</v>
      </c>
    </row>
    <row r="58" spans="2:21" ht="14.4">
      <c r="B58" s="499" t="str">
        <f t="shared" ca="1" si="8"/>
        <v/>
      </c>
      <c r="C58" s="500" t="str">
        <f t="shared" ca="1" si="4"/>
        <v/>
      </c>
      <c r="D58" s="501" t="str">
        <f t="shared" ca="1" si="5"/>
        <v/>
      </c>
      <c r="F58" s="499" t="str">
        <f t="shared" ca="1" si="9"/>
        <v/>
      </c>
      <c r="G58" s="500" t="str">
        <f t="shared" ca="1" si="6"/>
        <v/>
      </c>
      <c r="H58" s="501" t="str">
        <f t="shared" ca="1" si="7"/>
        <v/>
      </c>
      <c r="J58" s="462">
        <v>46</v>
      </c>
      <c r="R58" s="462" t="str">
        <f t="shared" ca="1" si="2"/>
        <v/>
      </c>
      <c r="S58" s="462">
        <v>46</v>
      </c>
      <c r="T58" s="462" t="str">
        <f t="shared" ca="1" si="3"/>
        <v/>
      </c>
      <c r="U58" s="462">
        <v>46</v>
      </c>
    </row>
    <row r="59" spans="2:21" ht="14.4">
      <c r="B59" s="499" t="str">
        <f t="shared" ca="1" si="8"/>
        <v/>
      </c>
      <c r="C59" s="500" t="str">
        <f t="shared" ca="1" si="4"/>
        <v/>
      </c>
      <c r="D59" s="501" t="str">
        <f t="shared" ca="1" si="5"/>
        <v/>
      </c>
      <c r="F59" s="499" t="str">
        <f t="shared" ca="1" si="9"/>
        <v/>
      </c>
      <c r="G59" s="500" t="str">
        <f t="shared" ca="1" si="6"/>
        <v/>
      </c>
      <c r="H59" s="501" t="str">
        <f t="shared" ca="1" si="7"/>
        <v/>
      </c>
      <c r="J59" s="462">
        <v>47</v>
      </c>
      <c r="R59" s="462" t="str">
        <f t="shared" ca="1" si="2"/>
        <v/>
      </c>
      <c r="S59" s="462">
        <v>47</v>
      </c>
      <c r="T59" s="462" t="str">
        <f t="shared" ca="1" si="3"/>
        <v/>
      </c>
      <c r="U59" s="462">
        <v>47</v>
      </c>
    </row>
    <row r="60" spans="2:21" ht="14.4">
      <c r="B60" s="499" t="str">
        <f t="shared" ca="1" si="8"/>
        <v/>
      </c>
      <c r="C60" s="500" t="str">
        <f t="shared" ca="1" si="4"/>
        <v/>
      </c>
      <c r="D60" s="501" t="str">
        <f t="shared" ca="1" si="5"/>
        <v/>
      </c>
      <c r="F60" s="499" t="str">
        <f t="shared" ca="1" si="9"/>
        <v/>
      </c>
      <c r="G60" s="500" t="str">
        <f t="shared" ca="1" si="6"/>
        <v/>
      </c>
      <c r="H60" s="501" t="str">
        <f t="shared" ca="1" si="7"/>
        <v/>
      </c>
      <c r="J60" s="462">
        <v>48</v>
      </c>
      <c r="R60" s="462" t="str">
        <f t="shared" ca="1" si="2"/>
        <v/>
      </c>
      <c r="S60" s="462">
        <v>48</v>
      </c>
      <c r="T60" s="462" t="str">
        <f t="shared" ca="1" si="3"/>
        <v/>
      </c>
      <c r="U60" s="462">
        <v>48</v>
      </c>
    </row>
    <row r="61" spans="2:21" ht="14.4">
      <c r="B61" s="499" t="str">
        <f t="shared" ca="1" si="8"/>
        <v/>
      </c>
      <c r="C61" s="500" t="str">
        <f t="shared" ca="1" si="4"/>
        <v/>
      </c>
      <c r="D61" s="501" t="str">
        <f t="shared" ca="1" si="5"/>
        <v/>
      </c>
      <c r="F61" s="499" t="str">
        <f t="shared" ca="1" si="9"/>
        <v/>
      </c>
      <c r="G61" s="500" t="str">
        <f t="shared" ca="1" si="6"/>
        <v/>
      </c>
      <c r="H61" s="501" t="str">
        <f t="shared" ca="1" si="7"/>
        <v/>
      </c>
      <c r="J61" s="462">
        <v>49</v>
      </c>
      <c r="R61" s="462" t="str">
        <f t="shared" ca="1" si="2"/>
        <v/>
      </c>
      <c r="S61" s="462">
        <v>49</v>
      </c>
      <c r="T61" s="462" t="str">
        <f t="shared" ca="1" si="3"/>
        <v/>
      </c>
      <c r="U61" s="462">
        <v>49</v>
      </c>
    </row>
    <row r="62" spans="2:21" ht="14.4">
      <c r="B62" s="499" t="str">
        <f t="shared" ca="1" si="8"/>
        <v/>
      </c>
      <c r="C62" s="500" t="str">
        <f t="shared" ca="1" si="4"/>
        <v/>
      </c>
      <c r="D62" s="501" t="str">
        <f t="shared" ca="1" si="5"/>
        <v/>
      </c>
      <c r="F62" s="499" t="str">
        <f t="shared" ca="1" si="9"/>
        <v/>
      </c>
      <c r="G62" s="500" t="str">
        <f t="shared" ca="1" si="6"/>
        <v/>
      </c>
      <c r="H62" s="501" t="str">
        <f t="shared" ca="1" si="7"/>
        <v/>
      </c>
      <c r="J62" s="462">
        <v>50</v>
      </c>
      <c r="R62" s="462" t="str">
        <f t="shared" ca="1" si="2"/>
        <v/>
      </c>
      <c r="S62" s="462">
        <v>50</v>
      </c>
      <c r="T62" s="462" t="str">
        <f t="shared" ca="1" si="3"/>
        <v/>
      </c>
      <c r="U62" s="462">
        <v>50</v>
      </c>
    </row>
    <row r="63" spans="2:21"/>
    <row r="64" spans="2:21"/>
  </sheetData>
  <sheetProtection algorithmName="SHA-512" hashValue="8akxoReuKbQ80rJrZuIBoXuFVsjRrov4tl1hP3X1BircQ5GyjnL87ULU6j0Ua35vfh9hSzf0/C0B1iFWH/852g==" saltValue="lsfa8Zu3WgpKXgu8vU/Q2Q==" spinCount="100000" sheet="1" objects="1"/>
  <mergeCells count="6">
    <mergeCell ref="B2:C2"/>
    <mergeCell ref="B3:C3"/>
    <mergeCell ref="B4:C4"/>
    <mergeCell ref="B7:D7"/>
    <mergeCell ref="F7:H7"/>
    <mergeCell ref="B5:D6"/>
  </mergeCells>
  <conditionalFormatting sqref="B9">
    <cfRule type="expression" dxfId="61" priority="11">
      <formula>$D$10&lt;=0</formula>
    </cfRule>
  </conditionalFormatting>
  <conditionalFormatting sqref="F9">
    <cfRule type="expression" dxfId="60" priority="10">
      <formula>$H$10&lt;=0</formula>
    </cfRule>
  </conditionalFormatting>
  <conditionalFormatting sqref="D10">
    <cfRule type="cellIs" dxfId="59" priority="9" operator="lessThanOrEqual">
      <formula>0</formula>
    </cfRule>
  </conditionalFormatting>
  <conditionalFormatting sqref="H10">
    <cfRule type="cellIs" dxfId="58" priority="7" operator="lessThanOrEqual">
      <formula>0</formula>
    </cfRule>
  </conditionalFormatting>
  <conditionalFormatting sqref="B13:D62">
    <cfRule type="expression" dxfId="57" priority="2">
      <formula>ISNUMBER(B13)</formula>
    </cfRule>
  </conditionalFormatting>
  <conditionalFormatting sqref="F13:H62">
    <cfRule type="expression" dxfId="56" priority="1">
      <formula>ISNUMBER(F13)</formula>
    </cfRule>
  </conditionalFormatting>
  <dataValidations count="3">
    <dataValidation type="whole" allowBlank="1" showInputMessage="1" showErrorMessage="1" prompt="Enter any value between 1 and 50" sqref="D2" xr:uid="{00000000-0002-0000-0700-000000000000}">
      <formula1>1</formula1>
      <formula2>50</formula2>
    </dataValidation>
    <dataValidation type="list" allowBlank="1" showInputMessage="1" showErrorMessage="1" sqref="D4" xr:uid="{00000000-0002-0000-0700-000001000000}">
      <formula1>Years</formula1>
    </dataValidation>
    <dataValidation type="list" allowBlank="1" showInputMessage="1" showErrorMessage="1" sqref="H2" xr:uid="{00000000-0002-0000-0700-000002000000}">
      <formula1>TaxSlab</formula1>
    </dataValidation>
  </dataValidations>
  <pageMargins left="0.7" right="0.7" top="0.75" bottom="0.75" header="0.3" footer="0.3"/>
  <pageSetup orientation="portrait"/>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I16"/>
  <sheetViews>
    <sheetView showGridLines="0" workbookViewId="0">
      <selection activeCell="C10" sqref="C10"/>
    </sheetView>
  </sheetViews>
  <sheetFormatPr defaultColWidth="0" defaultRowHeight="16.05" customHeight="1"/>
  <cols>
    <col min="1" max="1" width="9.21875" style="13" customWidth="1"/>
    <col min="2" max="2" width="71.33203125" style="13" customWidth="1"/>
    <col min="3" max="3" width="12.77734375" style="13" customWidth="1"/>
    <col min="4" max="6" width="9.21875" style="13" customWidth="1"/>
    <col min="7" max="8" width="10.5546875" style="13" customWidth="1"/>
    <col min="9" max="9" width="9.21875" style="13" customWidth="1"/>
    <col min="10" max="16384" width="9.21875" style="13" hidden="1"/>
  </cols>
  <sheetData>
    <row r="1" spans="2:8" ht="22.5" customHeight="1">
      <c r="B1" s="851" t="s">
        <v>173</v>
      </c>
      <c r="C1" s="851"/>
    </row>
    <row r="3" spans="2:8" s="462" customFormat="1" ht="16.05" customHeight="1">
      <c r="B3" s="463" t="s">
        <v>174</v>
      </c>
      <c r="C3" s="464">
        <v>1000000</v>
      </c>
    </row>
    <row r="4" spans="2:8" s="462" customFormat="1" ht="16.05" customHeight="1">
      <c r="B4" s="463" t="s">
        <v>175</v>
      </c>
      <c r="C4" s="465">
        <v>0.08</v>
      </c>
    </row>
    <row r="5" spans="2:8" s="462" customFormat="1" ht="16.05" customHeight="1">
      <c r="B5" s="466" t="s">
        <v>176</v>
      </c>
      <c r="C5" s="467">
        <f>(C3*C4)/12</f>
        <v>6666.666666666667</v>
      </c>
    </row>
    <row r="6" spans="2:8" s="462" customFormat="1" ht="16.05" customHeight="1">
      <c r="B6" s="468"/>
      <c r="C6" s="469"/>
    </row>
    <row r="7" spans="2:8" s="462" customFormat="1" ht="16.05" customHeight="1">
      <c r="B7" s="470" t="s">
        <v>177</v>
      </c>
      <c r="C7" s="471"/>
    </row>
    <row r="8" spans="2:8" s="462" customFormat="1" ht="16.05" customHeight="1">
      <c r="B8" s="472"/>
    </row>
    <row r="9" spans="2:8" s="462" customFormat="1" ht="16.05" customHeight="1">
      <c r="B9" s="473" t="s">
        <v>178</v>
      </c>
      <c r="C9" s="465">
        <v>0.12</v>
      </c>
      <c r="G9" s="474" t="s">
        <v>179</v>
      </c>
      <c r="H9" s="474" t="s">
        <v>180</v>
      </c>
    </row>
    <row r="10" spans="2:8" s="462" customFormat="1" ht="16.05" customHeight="1">
      <c r="B10" s="473" t="s">
        <v>15</v>
      </c>
      <c r="C10" s="475">
        <v>10</v>
      </c>
      <c r="G10" s="476">
        <f>C12/100000</f>
        <v>24.795336090074795</v>
      </c>
      <c r="H10" s="476">
        <f>C14/100000</f>
        <v>21.589249972727877</v>
      </c>
    </row>
    <row r="11" spans="2:8" s="462" customFormat="1" ht="16.05" customHeight="1">
      <c r="G11" s="462" t="str">
        <f>TEXT(G10,"0.00")&amp;" lakhs"</f>
        <v>24.80 lakhs</v>
      </c>
      <c r="H11" s="462" t="str">
        <f>TEXT(H10,"0.00")&amp;" lakhs"</f>
        <v>21.59 lakhs</v>
      </c>
    </row>
    <row r="12" spans="2:8" s="462" customFormat="1" ht="16.05" customHeight="1">
      <c r="B12" s="477" t="s">
        <v>181</v>
      </c>
      <c r="C12" s="467">
        <f>FV((1+C9)^(1/12)-1,C10*12,-C5,,0)+STP_CapSafe</f>
        <v>2479533.6090074796</v>
      </c>
    </row>
    <row r="13" spans="2:8" s="462" customFormat="1" ht="16.05" customHeight="1">
      <c r="B13" s="478"/>
    </row>
    <row r="14" spans="2:8" s="462" customFormat="1" ht="16.05" customHeight="1">
      <c r="B14" s="477" t="s">
        <v>182</v>
      </c>
      <c r="C14" s="467">
        <f>FV(C4,C10,,-C3)</f>
        <v>2158924.9972727876</v>
      </c>
    </row>
    <row r="15" spans="2:8" s="462" customFormat="1" ht="16.05" customHeight="1">
      <c r="B15" s="479" t="s">
        <v>183</v>
      </c>
      <c r="C15" s="480">
        <f>RATE(C10,,-STP_CapSafe,C12,,)</f>
        <v>9.5057691476735429E-2</v>
      </c>
    </row>
    <row r="16" spans="2:8" s="462" customFormat="1" ht="16.05" customHeight="1">
      <c r="B16" s="479" t="s">
        <v>184</v>
      </c>
      <c r="C16" s="481">
        <f>C12-C14</f>
        <v>320608.61173469201</v>
      </c>
    </row>
  </sheetData>
  <sheetProtection algorithmName="SHA-512" hashValue="qr/Mje0ysPlgPsqJ0CAQKEqjIfZvtHR9ZIpukK0Hd/He/h+TgA3ZeCYRTTAqtGge50Yievvw/9rsOVukTLA4Jg==" saltValue="U6wQ5R43ICtSG51V7Umsuw==" spinCount="100000" sheet="1" objects="1" scenarios="1"/>
  <mergeCells count="1">
    <mergeCell ref="B1:C1"/>
  </mergeCells>
  <pageMargins left="0.7" right="0.7" top="0.75" bottom="0.75" header="0.3" footer="0.3"/>
  <pageSetup scale="83" orientation="landscape"/>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53</vt:i4>
      </vt:variant>
    </vt:vector>
  </HeadingPairs>
  <TitlesOfParts>
    <vt:vector size="82" baseType="lpstr">
      <vt:lpstr>MAIN MENU</vt:lpstr>
      <vt:lpstr>SIP GRAPH</vt:lpstr>
      <vt:lpstr>SIP DELAY</vt:lpstr>
      <vt:lpstr>SIP TARGET</vt:lpstr>
      <vt:lpstr>EMIvsSIP</vt:lpstr>
      <vt:lpstr>RETIREMENT</vt:lpstr>
      <vt:lpstr>SWP_NEW</vt:lpstr>
      <vt:lpstr>SWP</vt:lpstr>
      <vt:lpstr>STP_CapSafe</vt:lpstr>
      <vt:lpstr>SAVING ON EMI</vt:lpstr>
      <vt:lpstr>DCF</vt:lpstr>
      <vt:lpstr>FinPlan</vt:lpstr>
      <vt:lpstr>OTHERS</vt:lpstr>
      <vt:lpstr>OTHERS (2)</vt:lpstr>
      <vt:lpstr>Debt_FD</vt:lpstr>
      <vt:lpstr>Debt_FD_SWP (2)</vt:lpstr>
      <vt:lpstr>SWP_CashFlow (2)</vt:lpstr>
      <vt:lpstr>Debt_FD_SWP (3)</vt:lpstr>
      <vt:lpstr>SWP_CashFlow (3)</vt:lpstr>
      <vt:lpstr>HomePage</vt:lpstr>
      <vt:lpstr>AMT</vt:lpstr>
      <vt:lpstr>PERCENT</vt:lpstr>
      <vt:lpstr>RESULT</vt:lpstr>
      <vt:lpstr>ANALYSIS</vt:lpstr>
      <vt:lpstr>Capital Gain</vt:lpstr>
      <vt:lpstr>ASSET ALLOCATION</vt:lpstr>
      <vt:lpstr>AA_2</vt:lpstr>
      <vt:lpstr>AA_2 (2)</vt:lpstr>
      <vt:lpstr>DISCLAIMER</vt:lpstr>
      <vt:lpstr>AA_2</vt:lpstr>
      <vt:lpstr>AA_22</vt:lpstr>
      <vt:lpstr>CellOne</vt:lpstr>
      <vt:lpstr>'AA_2 (2)'!Commodity</vt:lpstr>
      <vt:lpstr>Commodity</vt:lpstr>
      <vt:lpstr>D_DDT</vt:lpstr>
      <vt:lpstr>D_ServiceTax</vt:lpstr>
      <vt:lpstr>D_Surcharge</vt:lpstr>
      <vt:lpstr>DCF</vt:lpstr>
      <vt:lpstr>'AA_2 (2)'!Debt</vt:lpstr>
      <vt:lpstr>Debt</vt:lpstr>
      <vt:lpstr>Debt_FD</vt:lpstr>
      <vt:lpstr>DivSWP</vt:lpstr>
      <vt:lpstr>E_DDT</vt:lpstr>
      <vt:lpstr>'SWP_CashFlow (3)'!E_ServiceTax</vt:lpstr>
      <vt:lpstr>E_ServiceTax</vt:lpstr>
      <vt:lpstr>E_Surcharge</vt:lpstr>
      <vt:lpstr>'AA_2 (2)'!Equity</vt:lpstr>
      <vt:lpstr>Equity</vt:lpstr>
      <vt:lpstr>GOALS</vt:lpstr>
      <vt:lpstr>AMT!HOME</vt:lpstr>
      <vt:lpstr>ANALYSIS!HOME</vt:lpstr>
      <vt:lpstr>HomePage!HOME</vt:lpstr>
      <vt:lpstr>RESULT!HOME</vt:lpstr>
      <vt:lpstr>HOME</vt:lpstr>
      <vt:lpstr>EMIvsSIP!HOME_LOAN</vt:lpstr>
      <vt:lpstr>HOME_LOAN</vt:lpstr>
      <vt:lpstr>'AA_2 (2)'!Hybrid</vt:lpstr>
      <vt:lpstr>Hybrid</vt:lpstr>
      <vt:lpstr>IntSWP</vt:lpstr>
      <vt:lpstr>AA_2!Print_Area</vt:lpstr>
      <vt:lpstr>'AA_2 (2)'!Print_Area</vt:lpstr>
      <vt:lpstr>ANALYSIS!Print_Area</vt:lpstr>
      <vt:lpstr>DCF!Print_Area</vt:lpstr>
      <vt:lpstr>RETIREMENT!Print_Area</vt:lpstr>
      <vt:lpstr>'SIP DELAY'!Print_Area</vt:lpstr>
      <vt:lpstr>'SIP TARGET'!Print_Area</vt:lpstr>
      <vt:lpstr>SWP!Print_Area</vt:lpstr>
      <vt:lpstr>RESULT</vt:lpstr>
      <vt:lpstr>RETIREMENT</vt:lpstr>
      <vt:lpstr>EMIvsSIP!Scenario1</vt:lpstr>
      <vt:lpstr>Scenario1</vt:lpstr>
      <vt:lpstr>SIP_DELAY</vt:lpstr>
      <vt:lpstr>SIP_GRAPH</vt:lpstr>
      <vt:lpstr>SIP_TARGET</vt:lpstr>
      <vt:lpstr>STP_CapSafe</vt:lpstr>
      <vt:lpstr>SWP_Entry</vt:lpstr>
      <vt:lpstr>SWP_LINK</vt:lpstr>
      <vt:lpstr>Table</vt:lpstr>
      <vt:lpstr>TaxSlab</vt:lpstr>
      <vt:lpstr>'Debt_FD_SWP (2)'!Validation</vt:lpstr>
      <vt:lpstr>'Debt_FD_SWP (3)'!Validation</vt:lpstr>
      <vt:lpstr>Years</vt:lpstr>
    </vt:vector>
  </TitlesOfParts>
  <Company>GC6J3-GTQ62-FP876-94FBR-D3DX8</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Sandip Mukherjee</cp:lastModifiedBy>
  <cp:lastPrinted>2021-04-23T15:49:00Z</cp:lastPrinted>
  <dcterms:created xsi:type="dcterms:W3CDTF">2004-09-13T00:54:00Z</dcterms:created>
  <dcterms:modified xsi:type="dcterms:W3CDTF">2021-05-24T10:56:23Z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1033-11.2.0.10101</vt:lpwstr>
  </property>
</Properties>
</file>